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tabRatio="594" firstSheet="33" activeTab="39"/>
  </bookViews>
  <sheets>
    <sheet name="Ленина 78" sheetId="1" r:id="rId1"/>
    <sheet name="ленина 115" sheetId="2" r:id="rId2"/>
    <sheet name="Ленина 90а" sheetId="3" r:id="rId3"/>
    <sheet name="Л. Чайкиной 1а" sheetId="4" r:id="rId4"/>
    <sheet name="Карбышева 6" sheetId="5" r:id="rId5"/>
    <sheet name="Ленина 113" sheetId="6" r:id="rId6"/>
    <sheet name="Доценко 1" sheetId="7" r:id="rId7"/>
    <sheet name="Мушкетовская 6" sheetId="8" r:id="rId8"/>
    <sheet name="Коммунальный 2" sheetId="9" r:id="rId9"/>
    <sheet name="Ленина 72" sheetId="10" r:id="rId10"/>
    <sheet name="Дзержинского,23" sheetId="11" r:id="rId11"/>
    <sheet name="Черняховского 5" sheetId="12" r:id="rId12"/>
    <sheet name="Доценко3" sheetId="13" r:id="rId13"/>
    <sheet name="Ленина 117" sheetId="14" r:id="rId14"/>
    <sheet name="Красногвардейская 7" sheetId="15" r:id="rId15"/>
    <sheet name="Соболева,1" sheetId="16" r:id="rId16"/>
    <sheet name="Ленина 103" sheetId="17" r:id="rId17"/>
    <sheet name="2МКР 7" sheetId="18" r:id="rId18"/>
    <sheet name="Ленина 121" sheetId="19" r:id="rId19"/>
    <sheet name="Ленина 1231" sheetId="20" r:id="rId20"/>
    <sheet name="Красногвардейская 11" sheetId="21" r:id="rId21"/>
    <sheet name="Советская 1" sheetId="22" r:id="rId22"/>
    <sheet name="Ленина 66" sheetId="23" r:id="rId23"/>
    <sheet name="Ленина 90" sheetId="24" r:id="rId24"/>
    <sheet name="Гагарина 34" sheetId="25" r:id="rId25"/>
    <sheet name="Ф Мистек 2а1" sheetId="26" r:id="rId26"/>
    <sheet name="Гагарина 30" sheetId="27" r:id="rId27"/>
    <sheet name="Красногвардейская 3" sheetId="28" r:id="rId28"/>
    <sheet name="Черняховского 3" sheetId="29" r:id="rId29"/>
    <sheet name="Ленина 80" sheetId="30" r:id="rId30"/>
    <sheet name="Ленина 821" sheetId="31" r:id="rId31"/>
    <sheet name="Доценко 41" sheetId="32" r:id="rId32"/>
    <sheet name="Ленина 88" sheetId="33" r:id="rId33"/>
    <sheet name="Советская 2" sheetId="34" r:id="rId34"/>
    <sheet name="Ленина 135" sheetId="35" r:id="rId35"/>
    <sheet name="Береговой 2а" sheetId="36" r:id="rId36"/>
    <sheet name="Штеменко 12а" sheetId="37" r:id="rId37"/>
    <sheet name="Штеменко 16" sheetId="38" r:id="rId38"/>
    <sheet name="Чапаева 10 1" sheetId="39" r:id="rId39"/>
    <sheet name="Ленина 741" sheetId="40" r:id="rId40"/>
  </sheets>
  <definedNames>
    <definedName name="_xlnm.Print_Area" localSheetId="13">'Ленина 117'!$A$1:$P$45</definedName>
    <definedName name="_xlnm.Print_Area" localSheetId="9">'Ленина 72'!$A$1:$O$66</definedName>
  </definedNames>
  <calcPr fullCalcOnLoad="1" refMode="R1C1"/>
</workbook>
</file>

<file path=xl/sharedStrings.xml><?xml version="1.0" encoding="utf-8"?>
<sst xmlns="http://schemas.openxmlformats.org/spreadsheetml/2006/main" count="2514" uniqueCount="795">
  <si>
    <t>Изготовление смет</t>
  </si>
  <si>
    <t>Работа вышки</t>
  </si>
  <si>
    <t>Снятие строитенльных отходов с кровли</t>
  </si>
  <si>
    <t>Снятие строительных отходов с кровли,поднятие материалов на кровлю</t>
  </si>
  <si>
    <t>Дезинсекция от блох</t>
  </si>
  <si>
    <t>Завоз щебня</t>
  </si>
  <si>
    <t>Отделка откосов после установки окон в подъездах</t>
  </si>
  <si>
    <t>Ремонт отмостки,порожек</t>
  </si>
  <si>
    <t>Обрезка арматуры во дворе</t>
  </si>
  <si>
    <t>Замена стояка отопления кв.13</t>
  </si>
  <si>
    <t>Замена тройника КНС в кв.14</t>
  </si>
  <si>
    <t>Ремонт входной двери в 1 подъезде</t>
  </si>
  <si>
    <t>Обследовние кровли на протечку кв.43</t>
  </si>
  <si>
    <t>Заделка перекрытия цементным раствором кв.9,13</t>
  </si>
  <si>
    <t>Обследование подъезда № 5</t>
  </si>
  <si>
    <t>Заделка щели в козырьке над дверью с домофоном</t>
  </si>
  <si>
    <t>Ремонт кровли над кв. 90</t>
  </si>
  <si>
    <t>Замена проходных вентилей в кв.26</t>
  </si>
  <si>
    <t>Частичная замена трубы КНС 3-4 подъезд</t>
  </si>
  <si>
    <t>Частичная замена стояка ХВС в кв.36- подвал</t>
  </si>
  <si>
    <t>Заделка трещины вв козырьке 6 подъезда</t>
  </si>
  <si>
    <t>Ремонт мягкой кровли над кв.13,29,64,47,48</t>
  </si>
  <si>
    <t>Замена стояков отопления</t>
  </si>
  <si>
    <t>Частичная замена стояка отопления</t>
  </si>
  <si>
    <t>Замена лежака КНС в 4 подъезде</t>
  </si>
  <si>
    <t>Замена запорной арматуры на стояках кв.38</t>
  </si>
  <si>
    <t>врезка грязевика системы отопления</t>
  </si>
  <si>
    <t>Частичная замена стояка отопления кв.21</t>
  </si>
  <si>
    <t>Частичная замена стояка кнс д.90</t>
  </si>
  <si>
    <t>Изготовление грязевиков 2шт. и установка</t>
  </si>
  <si>
    <t>Ревизия запорной арматуры системы отопления, частичная замена стояка отопления кв.33</t>
  </si>
  <si>
    <t>Промывка, ревизия системы отопления</t>
  </si>
  <si>
    <t>Переврезка врезки ХВС кв.3</t>
  </si>
  <si>
    <t>Штеменко 12а</t>
  </si>
  <si>
    <t>Замена запорной арматуры на системе отопления кв.18</t>
  </si>
  <si>
    <t>Замена стояка ГВС кв.3</t>
  </si>
  <si>
    <t>Замена участка ГВС кв.24</t>
  </si>
  <si>
    <t>Частичная замена стояка кнс, тройника д.110</t>
  </si>
  <si>
    <t>Замена лежаков отопления</t>
  </si>
  <si>
    <t>Частичная замена трубы кнс д.110</t>
  </si>
  <si>
    <t>Частичная замена трубы КНС, тройника кв.3</t>
  </si>
  <si>
    <t>Обследование места протечки кровли кв.15</t>
  </si>
  <si>
    <t>Установка в квартире опалубки для заливки бетоном отверстия после замены стояка канализации</t>
  </si>
  <si>
    <t>Ремонт кровли над кв.48</t>
  </si>
  <si>
    <t>Переврезка ХВС кв.38</t>
  </si>
  <si>
    <t>Береговой 2а</t>
  </si>
  <si>
    <t>13,00 руб. с м2</t>
  </si>
  <si>
    <t>Замена проходного вентиля д.15</t>
  </si>
  <si>
    <t>Замена проходного вентиля кв.59</t>
  </si>
  <si>
    <t>Монтаж грязевика системы отопления</t>
  </si>
  <si>
    <t>Закладка отверстия под лоджиями,ремонт отмостки</t>
  </si>
  <si>
    <t>Замена запорной арматуры на стояках отопления</t>
  </si>
  <si>
    <t>Замена стояка отопления</t>
  </si>
  <si>
    <t>Замена трубы КНС</t>
  </si>
  <si>
    <t>Частичная замена стояка КНС в сан.узле "Комплекс Аудит"</t>
  </si>
  <si>
    <t>Ремонт отмостки</t>
  </si>
  <si>
    <t>отделка откосов</t>
  </si>
  <si>
    <t>Частичная замена стояка КНС, тройника 110</t>
  </si>
  <si>
    <t>Ремонт мягкой кровли</t>
  </si>
  <si>
    <t>Побелка</t>
  </si>
  <si>
    <t>Ремонт откосов после установки окон</t>
  </si>
  <si>
    <t>Ремонт отмостки между 2 и 3 подъездами</t>
  </si>
  <si>
    <t>Изготовление и установка на смотровые ямы крышки,штукатурка смотровых ям,восстановление отмостки</t>
  </si>
  <si>
    <t>Установка дверного доводчика в 4 подъезде</t>
  </si>
  <si>
    <t>Осмотр и мелкий ремонт шиферной кровли</t>
  </si>
  <si>
    <t>Ремонт дверного полотна входа в подвал</t>
  </si>
  <si>
    <t>Ремонт оконных откосов</t>
  </si>
  <si>
    <t>Ремонт мягкой кровли кв.65,49</t>
  </si>
  <si>
    <t>Обследование мягкой кровли на протечку</t>
  </si>
  <si>
    <t>Замена тройника крестовины кв.46,47</t>
  </si>
  <si>
    <t>Установка маячков на наружных стенах дома</t>
  </si>
  <si>
    <t xml:space="preserve">Укрепление дверной коробки </t>
  </si>
  <si>
    <t>Обследование чердачных помещений,забивка смотровых окон</t>
  </si>
  <si>
    <t>Частичная замена стояков отопления в подвале</t>
  </si>
  <si>
    <t>Замена стояка системы канализации и частичная замена стояка отопления</t>
  </si>
  <si>
    <t>Замена стояков систем гвс и хвс кв.55,58,62,подвал</t>
  </si>
  <si>
    <t>Замена лежака системы ГВС</t>
  </si>
  <si>
    <t>Замена стояка ХВС кв.16,19,22</t>
  </si>
  <si>
    <t>Замена стояков отопления 6,4 подъезды</t>
  </si>
  <si>
    <t>Укладка тратуарной плитки</t>
  </si>
  <si>
    <t>пр.Ленина 135</t>
  </si>
  <si>
    <t>Установка металлических дверей</t>
  </si>
  <si>
    <t>Металлические подъездные двери</t>
  </si>
  <si>
    <t>Подготовка строительного участка с использованием вышки</t>
  </si>
  <si>
    <t>Снятие мусора с кровли с вышки</t>
  </si>
  <si>
    <t>Оштукатуривание вентканалов с вышки</t>
  </si>
  <si>
    <t>Металлопластиковые окна</t>
  </si>
  <si>
    <t>Укладка тратуарной плитки (арка)</t>
  </si>
  <si>
    <t>Снятие строительного мусора с кровли с вышки</t>
  </si>
  <si>
    <t>Ремонт балкона с вышки</t>
  </si>
  <si>
    <t>Завоз песка для укладки плитки</t>
  </si>
  <si>
    <t>ИП Земцова Н.В.</t>
  </si>
  <si>
    <t>Электронные замки</t>
  </si>
  <si>
    <t xml:space="preserve">ОТЧЕТ НА 1СЕНТЯБРЯ 2014 года </t>
  </si>
  <si>
    <t>Металлические подъездные двери 2,3,4,5</t>
  </si>
  <si>
    <t>Материалы для выноса электросчетчика</t>
  </si>
  <si>
    <t>Замена фанового стояка кв.10</t>
  </si>
  <si>
    <t>Замена тройника кнс кв.9</t>
  </si>
  <si>
    <t>Частичная замена стояка кнс кв.11</t>
  </si>
  <si>
    <t>Частичная замена стояка кнс кв.15</t>
  </si>
  <si>
    <t>Замена стояков отопления кв.20,33</t>
  </si>
  <si>
    <t>Частичная замена стояка ГВС 55-58</t>
  </si>
  <si>
    <t>Замена тройника КНС</t>
  </si>
  <si>
    <t>Частичная замена стояка отопления кв.2</t>
  </si>
  <si>
    <t>Замена тройника кнс д.90</t>
  </si>
  <si>
    <t>Замена кнс кв.3</t>
  </si>
  <si>
    <t>Частичная замена стояка кнс кв.2,6,7</t>
  </si>
  <si>
    <t>Замена стояка отопления кв.48</t>
  </si>
  <si>
    <t>Частичная замена стояков отопления и запорной арматуры</t>
  </si>
  <si>
    <t>Частичная замена стояка КНС кв.56</t>
  </si>
  <si>
    <t>Частичная замена стояка КНС кв.21-24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</si>
  <si>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</si>
  <si>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Частичная замена стояка кнс, крестовины</t>
  </si>
  <si>
    <t>Частичная замена стояков отопления кв.54</t>
  </si>
  <si>
    <t>Сварка отопления</t>
  </si>
  <si>
    <t>Прокрутка вентилей,кранов,задвижек</t>
  </si>
  <si>
    <t>Сброс воздуха, прочистка радиатора(женская консультация)</t>
  </si>
  <si>
    <t>Замена запорной арматуры системы отопления</t>
  </si>
  <si>
    <t>Сброс снега с козырьков входов в подъезд</t>
  </si>
  <si>
    <t>Замена тройника д.110 кв.33</t>
  </si>
  <si>
    <t>Замена фанового  стояка кв.55</t>
  </si>
  <si>
    <t>Ремонт и укрепление почтовых ящиков в п.№ 1</t>
  </si>
  <si>
    <t>Закладка ниши после ремонта системы канализации и хвс</t>
  </si>
  <si>
    <t>Спиливание непригодного к эксплуатации замка над входом</t>
  </si>
  <si>
    <t>Замена стояков системы хвс кв.1,2,3,4-13,14,15,16,29-38,31</t>
  </si>
  <si>
    <t>Частичная штукатурка цоколя вокруг дома</t>
  </si>
  <si>
    <t>Подгонка в подъезде оконных рам,установка на рамах фасонины,остекление</t>
  </si>
  <si>
    <t>Сброс снега над кв.2,34</t>
  </si>
  <si>
    <t>Поправка изоляции,набивка сальников на задвижках,прокрутка вентилей</t>
  </si>
  <si>
    <t>Замена проходного вентиля кв.23</t>
  </si>
  <si>
    <t>Ремонт смывного бачка кв.43</t>
  </si>
  <si>
    <t>Закрытие подвального помещения 1 подвал</t>
  </si>
  <si>
    <t>Утепление дверных полотен,установка фасонины на двери,сброс снега с кровли</t>
  </si>
  <si>
    <t>Укрепление на кровле 6 подъезда железа над парапетом</t>
  </si>
  <si>
    <t>Ремонт дворового штакетного заборчика вокруг клумб</t>
  </si>
  <si>
    <t>Покраска штакетного заборчика,установка на дверное полотно фасонины,покраска дверных железных полотен</t>
  </si>
  <si>
    <t>Установка в подъезде сбитых ящиков для корреспонденции</t>
  </si>
  <si>
    <t>Укрепление на кровле дома отливов</t>
  </si>
  <si>
    <t>Остекление оконных рам по подъездам,остекление оконных рам,пробитие штапиком</t>
  </si>
  <si>
    <t>Изготовление из оконных рам форточек,сбивка, подгонка, остекление</t>
  </si>
  <si>
    <t>Ремонт во 2 подъезде тамбурных дверей,установка в подъезде на окнах фасонины,ремонт оконных рам, установка на окнах арматуры</t>
  </si>
  <si>
    <t>Прочистка выпусков д.110кнс</t>
  </si>
  <si>
    <t>Прочистка фанового стояка кв.40</t>
  </si>
  <si>
    <t>Остекление оконных рам 3 подъезд</t>
  </si>
  <si>
    <t>Изготовление из оконных рам форточек,снятие оконных рам,подгонка форточек,установка рам</t>
  </si>
  <si>
    <t>Ремонт смывного бачка(банк)</t>
  </si>
  <si>
    <t>Частичная замена трубы кнс (подвал)</t>
  </si>
  <si>
    <t>Гидроизоляция,прокрутка вентилей,набивка сальников</t>
  </si>
  <si>
    <t>Частичная замена трубы кнс (магазин)</t>
  </si>
  <si>
    <t>Ремонт смывного бачка кв.19</t>
  </si>
  <si>
    <t>Снятие размеров по замене оконных стекол п.№ 1,2,3</t>
  </si>
  <si>
    <t>Замена на оконных рамах вместе со штапиком 1,2,3</t>
  </si>
  <si>
    <t>Снятие на дверном полотне обшивки,замена замка 5 подъезд</t>
  </si>
  <si>
    <t>Обследование в квартире вытяжки,наращивание трубы кв.33</t>
  </si>
  <si>
    <t>Утепление дверных полотен,смазка замков</t>
  </si>
  <si>
    <t>Обход по подвалу</t>
  </si>
  <si>
    <t>Частичная замена стояка кнс кв.54-57</t>
  </si>
  <si>
    <t>Ремонт смывного бачка,замена арматуры,замена крана д.15</t>
  </si>
  <si>
    <t>Вырезка отверстия для ревизии, частичная замена трубы кнс</t>
  </si>
  <si>
    <t>Изготовление дверного полотна в подвал</t>
  </si>
  <si>
    <t>Остекление оконной рамы 5 подъезд 5 этаж</t>
  </si>
  <si>
    <t>Утепление входных дверных полотен</t>
  </si>
  <si>
    <t>Замена стояков хвс и гвс кв.54-63,55-64,53-62,69-77,68-80,43-52,30-39,19-28,4-16</t>
  </si>
  <si>
    <t>Замена радиатора кв.16</t>
  </si>
  <si>
    <t>Обследование чердачного помещения на задувание и занос снега под шифер на чердак,уборка снега,устранение протечки</t>
  </si>
  <si>
    <t>Обследование чердаков на протечку кровли</t>
  </si>
  <si>
    <t>Разбор оконных блоков в под.№ 1</t>
  </si>
  <si>
    <t>Материалы уборщице</t>
  </si>
  <si>
    <t>Ремонт мягкой кровли кв.13,14,15</t>
  </si>
  <si>
    <t>Ремонт местами мягкой кровли кв.24,37</t>
  </si>
  <si>
    <t>Сварка в подвале решеток для окон,приваривание петель,снятие решетки, установка  решетки</t>
  </si>
  <si>
    <t>Сброс снега над.кв.72</t>
  </si>
  <si>
    <t>Обследование кровли на протечку кв.71</t>
  </si>
  <si>
    <t>Ремонт трубы кнс сверление отверстий, крепеж трубы</t>
  </si>
  <si>
    <t>Частичная замена лежака,стояков ГВС (обратка)</t>
  </si>
  <si>
    <t>Подгонка дверных подъездных рам,установка фасонины,изготовление во 2 подъезде оконной рамы, установка фасонины,подгонка оконных рам,остекление</t>
  </si>
  <si>
    <t>обследование места протечки кровли над кв.13</t>
  </si>
  <si>
    <t>Пробивка вентканала кв.16</t>
  </si>
  <si>
    <t>Ремонт мягкой кровли над кв.13</t>
  </si>
  <si>
    <t>Заделка отверстий между 2 и 3 подъездом от попадания посторонних предметов</t>
  </si>
  <si>
    <t>Прокрутка вентилей,поправка изоляции,зачеканка трубы кнс,частичная замена трубы кнс</t>
  </si>
  <si>
    <t>Замена запорной арматуры кв.1,2 подвал</t>
  </si>
  <si>
    <t>Сброс воздуха кв.1,2</t>
  </si>
  <si>
    <t>Ремонт отопления,сварочные работы</t>
  </si>
  <si>
    <t>Частичная замена трубы отопления</t>
  </si>
  <si>
    <t>Частичная замена фанового стояка</t>
  </si>
  <si>
    <t>Прогрев радиатора, стояка, отогрев стояка</t>
  </si>
  <si>
    <t>Обрезка и заглушка радиатора</t>
  </si>
  <si>
    <t>Замена проходного вентиля д.15 26(27)</t>
  </si>
  <si>
    <t>Замена проходного крана д.15,прочистка фильтра грубой очистки,частичная замена стояка</t>
  </si>
  <si>
    <t>Прочистка водомера, комнатной разводки кв.62</t>
  </si>
  <si>
    <t>Утепление дверных полотен 2 подъезд</t>
  </si>
  <si>
    <t>Замена стояков канализации,хвс,гвс кв.26-34</t>
  </si>
  <si>
    <t>Замена стояка гвс кв.73-79</t>
  </si>
  <si>
    <t>Обследование кровли для ремонта парапетной доски</t>
  </si>
  <si>
    <t>Частичная замена стояка кнс кв.41</t>
  </si>
  <si>
    <t>Прокрутка вентилей,изоляция системы отопления</t>
  </si>
  <si>
    <t>Ремонт кнс д.90 кв.41</t>
  </si>
  <si>
    <t>Замена тройника кнс д.90 кв.41</t>
  </si>
  <si>
    <t>Утепление дверных полотен в подъезде № 1</t>
  </si>
  <si>
    <t xml:space="preserve">Утепление в подъезде железных дверей </t>
  </si>
  <si>
    <t>Замена стояков ХВС,ГВС кв.27-35</t>
  </si>
  <si>
    <t>Установка жильцам в подвал замка</t>
  </si>
  <si>
    <t>Ремонт смывного бачка</t>
  </si>
  <si>
    <t>Устранение течи задвижек системы отопления,прокрутка вентилей,набивка сальников</t>
  </si>
  <si>
    <t>Замена тройника д.110 кв.42</t>
  </si>
  <si>
    <t xml:space="preserve">Прокрутка вентилей,задвижек,поправка изоляции </t>
  </si>
  <si>
    <t>Замера порожек,закупка уголка,ремонт</t>
  </si>
  <si>
    <t>Освещение подвального помещения для ремонта системы отопления</t>
  </si>
  <si>
    <t>Сварочные работы,ремонт системы отопления кв.9</t>
  </si>
  <si>
    <t>Ремонт дверного замка</t>
  </si>
  <si>
    <t>Укрепление дверной коробки,ремонт замка</t>
  </si>
  <si>
    <t>Изготовление лестницы в подвал,сварочные работы</t>
  </si>
  <si>
    <t>Обследование подвалов</t>
  </si>
  <si>
    <t>Снятие старых настилов,вырезка отверстий для работы слесарей</t>
  </si>
  <si>
    <t>Сбивка и установка  щитов для закрытия отверстий от попадания посторонних предметов</t>
  </si>
  <si>
    <t>Ремонт в 1 подъезде дверного полотна,ремонт кодового замка</t>
  </si>
  <si>
    <t>Замена лежака хвс</t>
  </si>
  <si>
    <t>Осенне-зимние и весенне летние осмотры</t>
  </si>
  <si>
    <t>Остаток на 01.01.2013г.</t>
  </si>
  <si>
    <t>Техническое обслуживание ВДИС</t>
  </si>
  <si>
    <t>Санитарное содержание(работа дворников)</t>
  </si>
  <si>
    <t>Ф.Мистек 2а</t>
  </si>
  <si>
    <t>Замена лежака канализации</t>
  </si>
  <si>
    <t>Остаток по электроэнергии</t>
  </si>
  <si>
    <t>Осенне-весенние осмотры</t>
  </si>
  <si>
    <t>Рабочая проверка системы отопления</t>
  </si>
  <si>
    <t>Рабочая проверка системы</t>
  </si>
  <si>
    <t>Рабочая проверка системы отоления</t>
  </si>
  <si>
    <t xml:space="preserve">Рабочая проверка системы отопления </t>
  </si>
  <si>
    <t>рабочая проверка системы отопления</t>
  </si>
  <si>
    <t>осмотр фундаментов</t>
  </si>
  <si>
    <t>Осмотр подъездрв</t>
  </si>
  <si>
    <t>осмотр кровли</t>
  </si>
  <si>
    <t>Рабочая проверка системы отопления в год</t>
  </si>
  <si>
    <t>Осенне-зимние осмотры</t>
  </si>
  <si>
    <t>Красногвардейская 3</t>
  </si>
  <si>
    <t>добровольные взносы председателю совета дома</t>
  </si>
  <si>
    <t>Выполнено работ</t>
  </si>
  <si>
    <t>Обмер козырьков входа в подъезд,привоз материала,занос материала в подвал,резка плитки для установки труб</t>
  </si>
  <si>
    <t>Устройство над подъездами козырьков</t>
  </si>
  <si>
    <t>Побелка деревьев во дворе</t>
  </si>
  <si>
    <t>Побелка деревьев во дворе дома</t>
  </si>
  <si>
    <t>Заделка раствором отверстий после замены труб</t>
  </si>
  <si>
    <t>Обследование кровли,всех примыканий,парапета</t>
  </si>
  <si>
    <t>Замена стояков системы канализации кв.10,14,15 и ХВС 1-13,4-16,17-29,20-32</t>
  </si>
  <si>
    <t>Ремонт в подъезде дверного полотна со шпингалетом</t>
  </si>
  <si>
    <t>Прокрутка вентилей,задвижек,изоляция системы отопления</t>
  </si>
  <si>
    <t>Сброс снега,сбивка сосулек по периметру всего дома</t>
  </si>
  <si>
    <t>Замена врезки ГВС кв.4</t>
  </si>
  <si>
    <t>Побелка во дворе деревьев</t>
  </si>
  <si>
    <t>Пробивка вентканалов на кухне кв.30</t>
  </si>
  <si>
    <t>Заделка на чердаке отверстия от проникновения голубей</t>
  </si>
  <si>
    <t>Добровольные взносы пред. совета дома</t>
  </si>
  <si>
    <t>поступления сбербанк</t>
  </si>
  <si>
    <t>Дрбровольные взносы пред. совета дома</t>
  </si>
  <si>
    <t xml:space="preserve">  поступило</t>
  </si>
  <si>
    <t>Эксплуатация   электрических сетей</t>
  </si>
  <si>
    <t>Тех.обсл.всроенных помещений</t>
  </si>
  <si>
    <t>инернет ОДПУ</t>
  </si>
  <si>
    <t>Испытание системы отопления трубопроводов</t>
  </si>
  <si>
    <t>Экс-пация  электрических сетей</t>
  </si>
  <si>
    <t>интернет на ОДПУ</t>
  </si>
  <si>
    <t>интернет ОДПУ</t>
  </si>
  <si>
    <t>добровольные взносы пред. Совета дома</t>
  </si>
  <si>
    <t>уборка подъездов</t>
  </si>
  <si>
    <t>добровольные выплаты пред. Совета дома</t>
  </si>
  <si>
    <t>Ревизия задвижек,вентилей на системе отопления,промывка   и опрессовка системы отопления,заполнение системы отопления</t>
  </si>
  <si>
    <t>средства уборки подъездов в год</t>
  </si>
  <si>
    <t>средства для уборки подъездов в год</t>
  </si>
  <si>
    <t>завоз песка для посыпки тр-ов зимой</t>
  </si>
  <si>
    <t>за воду по летним водомерам</t>
  </si>
  <si>
    <t>ПРУ администрация</t>
  </si>
  <si>
    <t>Ремонт отопления кв.33</t>
  </si>
  <si>
    <t>Прочистка запорной арматуры</t>
  </si>
  <si>
    <t>Поступления за электричество</t>
  </si>
  <si>
    <t>Прочистка проходного вентиля подвал</t>
  </si>
  <si>
    <t>Закрытие задвижек отопления,блинение</t>
  </si>
  <si>
    <t>Интернет тепловой счетчик</t>
  </si>
  <si>
    <t>интернет тепловой счетчик</t>
  </si>
  <si>
    <t>пр.</t>
  </si>
  <si>
    <t>Промывка системы отопления,ревизия системы отопления</t>
  </si>
  <si>
    <t>итого:</t>
  </si>
  <si>
    <t>Пробивка вентканала кв.№1</t>
  </si>
  <si>
    <t>Замена стояка отопления (подвал,магазин)</t>
  </si>
  <si>
    <t>Прочистка фанового стояка,обход водвалв,прокрутка вентилей,набивка сальников на задвижках отопления( кв.34,35-46,47)</t>
  </si>
  <si>
    <t>Набивка сальников,прокрутка вентилей,зачеканка трубы КНС</t>
  </si>
  <si>
    <t>Ремонт отопления,сброс воздуха системы отопления</t>
  </si>
  <si>
    <t>Замена лампочек в подвальном помещении</t>
  </si>
  <si>
    <t>Ремонт отопления,замена кранов на стояках отопления</t>
  </si>
  <si>
    <t>Частичная замена отопления,сварочные работы,слив воды,заполнение системы отопления ХВС (подвал)</t>
  </si>
  <si>
    <t>Обследование вытяжной трубы в кв.35</t>
  </si>
  <si>
    <t>Ремонт системы отопления кв.36</t>
  </si>
  <si>
    <t>Ремонт дверного кодового замка</t>
  </si>
  <si>
    <t>Ремонт во дворе поломанного заборчика,установка железных столбиков</t>
  </si>
  <si>
    <t>Поступило средств от жильцов</t>
  </si>
  <si>
    <t>Плата за встройку</t>
  </si>
  <si>
    <t>Установка на стене железного порчня для инвалида побелка деревьев</t>
  </si>
  <si>
    <t>Замена стояков отопления кв.34,магазин, подвал</t>
  </si>
  <si>
    <t>Обследование и ремонт лаза на кровле</t>
  </si>
  <si>
    <t>Побелка деревьев</t>
  </si>
  <si>
    <t>Примыкание дверных створок в узле управления отопительной системы</t>
  </si>
  <si>
    <t>Ремонт ,закрытие смотрового окна на чердаке дома</t>
  </si>
  <si>
    <t>Техническое обслуживание стояков кв.13</t>
  </si>
  <si>
    <t>Замена проходног вентиля кв.17</t>
  </si>
  <si>
    <t>Прокрутка кранов,набивка сальников, замена заглушки д.15,поправка изоляции</t>
  </si>
  <si>
    <t>Прокрутка вентилей поправка изоляции, гидроизоляция</t>
  </si>
  <si>
    <t>Ремонт дверных железных полотен(подгонка,сварка,резка)</t>
  </si>
  <si>
    <t xml:space="preserve">Утепление железных дверных полотен </t>
  </si>
  <si>
    <t>Замена основания подвальной крышки окна где поливочный кран,заделка дыр от проникания голубей на чердак</t>
  </si>
  <si>
    <t>Закупка,привоз трубы для ограждения оконных рам,установка труб на оконные проемы</t>
  </si>
  <si>
    <t>Счистка голубиного помета с козырька фасадной стороны дома</t>
  </si>
  <si>
    <t>Обследование кровли по закрытию отверстий от голубей, замер по периметру с двух сторон по всему дому</t>
  </si>
  <si>
    <t>На чердаке заделка фанерой от попадания голубей на чердак</t>
  </si>
  <si>
    <t>Отделка оконных откосов после установки окон</t>
  </si>
  <si>
    <t>Течь вентиля(подвал)</t>
  </si>
  <si>
    <t>Сварочные работы замена сгона кв.35</t>
  </si>
  <si>
    <t>Крепление болтающегося железа на вытяжных каналах кровли</t>
  </si>
  <si>
    <t xml:space="preserve">Регулировка во 2 подъезде доводчика,укрепление на кровле железа </t>
  </si>
  <si>
    <t>Установка на новой двери дверного доводчика</t>
  </si>
  <si>
    <t>Прочистка выпусков КНС д.110</t>
  </si>
  <si>
    <t>Ремонт ГВС кв.57</t>
  </si>
  <si>
    <t>Прочистка стояка ГВС,сброс воздуха по ГВС,замена крана д.20,замена проходного вентиля д.15 кв.35</t>
  </si>
  <si>
    <t>Обход подвала</t>
  </si>
  <si>
    <t>Ремонт дверной коробки во 2 подъезде,установка фасонины</t>
  </si>
  <si>
    <t>Регулировка дверного доводчика</t>
  </si>
  <si>
    <t>Установка доводчика в 3 подъезд</t>
  </si>
  <si>
    <t>Установка доводчика в 4 подъезде</t>
  </si>
  <si>
    <t>Ремонт отопление,сброс воздуха,слив воды ООО "Советник"</t>
  </si>
  <si>
    <t>Ремонт отопления Частичная замена стояка отопления кв.24-37</t>
  </si>
  <si>
    <t>Побелка деравьев</t>
  </si>
  <si>
    <t>Ремонт кровли входа в подвал,закладка отверстий кирпичем</t>
  </si>
  <si>
    <t>Ремонт стояка ХВС кв.29,37</t>
  </si>
  <si>
    <t>Ремонт отопления кв.19,замена крана д.15,20(подвал)</t>
  </si>
  <si>
    <t>Замена тройника д.110 кв.14</t>
  </si>
  <si>
    <t>Ремонт смывного бачка кв.15</t>
  </si>
  <si>
    <t>Прочистка фанового стояка кв.4-16</t>
  </si>
  <si>
    <t>Сброс снега над кв.29,64</t>
  </si>
  <si>
    <t>Сброс снега,сбивка сосулек над. Кв.29</t>
  </si>
  <si>
    <t>Обследование фанового стояка кв.21</t>
  </si>
  <si>
    <t>Ремонт смывного бачка кв.33</t>
  </si>
  <si>
    <t>Замена стояков ХВС кв.6,7-15,16,4-16,20-32,18-19,30-31</t>
  </si>
  <si>
    <t>Ремонт в подвале дверных полотен, установка фасонины</t>
  </si>
  <si>
    <t>Сварка по подъездам перил</t>
  </si>
  <si>
    <t xml:space="preserve">Прочистка выпусков КНС д.110 </t>
  </si>
  <si>
    <t>Зачеканка КНС д.110,прокрутка вентилей,задвижек</t>
  </si>
  <si>
    <t xml:space="preserve">Восстановление канализационной тумбы </t>
  </si>
  <si>
    <t>Установка замка в 1 подъезде</t>
  </si>
  <si>
    <t>Изготовление в подвале заграждения к узлу управления</t>
  </si>
  <si>
    <t>Навес запорной арматуры на крышке выхода на чердак</t>
  </si>
  <si>
    <t>Замер в подвале ограждения к узлу управления,закупка материала</t>
  </si>
  <si>
    <t>Сброс воздуха ГВС,прокрутка вентилей,задвижек,поправка изоляции</t>
  </si>
  <si>
    <t>Заделка на этаже лоппнувшего шифера(ниша)</t>
  </si>
  <si>
    <t>Ремонт в подъезде второй двери-укрепление</t>
  </si>
  <si>
    <t>Замки на узлы управления</t>
  </si>
  <si>
    <t>Изготовление и установка на смотровые окна крышек,сварка,резка рамки,приваривание петель,проушин,подгонка,очистка приямков от мусора</t>
  </si>
  <si>
    <t>Частичная замена стояка отопления кв.55</t>
  </si>
  <si>
    <t>Поправка изоляции</t>
  </si>
  <si>
    <t>Замена тройника д.110 кв.11</t>
  </si>
  <si>
    <t>Гидроизоляция (подвал)</t>
  </si>
  <si>
    <t>Установка на дверные полотна 2,3 подъезд доводчиков</t>
  </si>
  <si>
    <t>Провевка,прочистка вентканалов кв.59</t>
  </si>
  <si>
    <t>Установка доводчика 5 подъезд</t>
  </si>
  <si>
    <t>Установка запорной арматуры в 4 подъезде</t>
  </si>
  <si>
    <t>Утепление дверных полотен в 1,6 подъездах</t>
  </si>
  <si>
    <t>Установка на дверные полотна запорной арматуры, фасонины</t>
  </si>
  <si>
    <t>Заделка канализационной трубы в подвале</t>
  </si>
  <si>
    <t>Регулировка дверных доводчиков</t>
  </si>
  <si>
    <t>Перекрытие подвального омещения входа в подвал</t>
  </si>
  <si>
    <t>Ремонт стояка КНС, замена прочистка фанового стояка,монтаж,демонтаж унитаза кв.26</t>
  </si>
  <si>
    <t>Плохой напор ХВС, регулировка смывного бачка кв.67</t>
  </si>
  <si>
    <t>Замена проходного вентиля, прочистка врезки ХВС кв.11</t>
  </si>
  <si>
    <t>Ремонт в 6 подъезде вторых дверных полотен,установка на полотна фасонины</t>
  </si>
  <si>
    <t>Сброс снега на 13 квартирой</t>
  </si>
  <si>
    <t>Обследование подвала, сварка отопления</t>
  </si>
  <si>
    <t>Ремонт смывного бачка кв.61</t>
  </si>
  <si>
    <t>Течь ХВС кв.47</t>
  </si>
  <si>
    <t>Регулировка дверного доводчика подъезд 1</t>
  </si>
  <si>
    <t>Пробивка вентканала кв.24</t>
  </si>
  <si>
    <t>Регулировка, ремонт кодового замка в 4 подъезде</t>
  </si>
  <si>
    <t>Зачеканка КНС, прокрутка вентилей,задвижек в подвале, изоляция</t>
  </si>
  <si>
    <t>Сброс снега с кровли над кв. 20,23</t>
  </si>
  <si>
    <t>Сброс снега с кровли кв. 57,77,80</t>
  </si>
  <si>
    <t>Сброс снега над кв.№ 80,40</t>
  </si>
  <si>
    <t>Сброс воздуза кв.21-33</t>
  </si>
  <si>
    <t>Изготовление навесов 1,2,3 подъезды</t>
  </si>
  <si>
    <t xml:space="preserve">Покраска стены входа в подвал 2 раза </t>
  </si>
  <si>
    <t>Частичная замена лежака отопления(мясное изобилие)</t>
  </si>
  <si>
    <t>Уборка во 2 подъезде оконных старых рам, ремонт деревянного дверного полотна</t>
  </si>
  <si>
    <t>Вынос тарых оконных рам</t>
  </si>
  <si>
    <t>Замена стояков системы канализации</t>
  </si>
  <si>
    <t>Интернет</t>
  </si>
  <si>
    <t>11.90 руб. с м2</t>
  </si>
  <si>
    <t>Зарплата дворника</t>
  </si>
  <si>
    <t>Гагарина 30</t>
  </si>
  <si>
    <t>Черняховского 3</t>
  </si>
  <si>
    <t>Ленина 80</t>
  </si>
  <si>
    <t>С начала года</t>
  </si>
  <si>
    <t>Ленина 82</t>
  </si>
  <si>
    <t>плата ИП Лыкова И.В.</t>
  </si>
  <si>
    <t>Плата за т.о</t>
  </si>
  <si>
    <t>Плата за т.о.</t>
  </si>
  <si>
    <t>Оплата т.о.</t>
  </si>
  <si>
    <t>плата за т.о.</t>
  </si>
  <si>
    <t>Электроснабжение</t>
  </si>
  <si>
    <t>Прочистка фанового стояка кв.12</t>
  </si>
  <si>
    <t>Частичная замена лежака отопления</t>
  </si>
  <si>
    <t>Гагарина 34</t>
  </si>
  <si>
    <t>Ленина 90а</t>
  </si>
  <si>
    <t>статьи затрат</t>
  </si>
  <si>
    <t>сумма с м2</t>
  </si>
  <si>
    <t>сбор платежей</t>
  </si>
  <si>
    <t>аварийная служба</t>
  </si>
  <si>
    <t xml:space="preserve">май  </t>
  </si>
  <si>
    <t>июнь</t>
  </si>
  <si>
    <t>выполнено работ</t>
  </si>
  <si>
    <t>июль</t>
  </si>
  <si>
    <t>август</t>
  </si>
  <si>
    <t>тариф</t>
  </si>
  <si>
    <t>Итого поступило</t>
  </si>
  <si>
    <t>Остаток</t>
  </si>
  <si>
    <t>Итого начислено</t>
  </si>
  <si>
    <t>Жил.площадь</t>
  </si>
  <si>
    <t>сентябрь</t>
  </si>
  <si>
    <t>октябрь</t>
  </si>
  <si>
    <t>ноябрь</t>
  </si>
  <si>
    <t>декабрь</t>
  </si>
  <si>
    <t>итого</t>
  </si>
  <si>
    <t xml:space="preserve"> </t>
  </si>
  <si>
    <t>Вывоз мусора</t>
  </si>
  <si>
    <t>Л. Чайкиной 1а</t>
  </si>
  <si>
    <t>Ленина 115</t>
  </si>
  <si>
    <t>Коммунальный 2</t>
  </si>
  <si>
    <t>Ленина 74</t>
  </si>
  <si>
    <t>январь</t>
  </si>
  <si>
    <t>Санитарное содержание</t>
  </si>
  <si>
    <t>апрель</t>
  </si>
  <si>
    <t>март</t>
  </si>
  <si>
    <t>февраль</t>
  </si>
  <si>
    <t>Карбышева,6</t>
  </si>
  <si>
    <t>Доценко,1</t>
  </si>
  <si>
    <t>М. Мушкетовская ,6</t>
  </si>
  <si>
    <t>Ленина 72</t>
  </si>
  <si>
    <t>Ленина 117</t>
  </si>
  <si>
    <t>Черняховского 5</t>
  </si>
  <si>
    <t>Красногвардейская 7</t>
  </si>
  <si>
    <t>Соболева,1</t>
  </si>
  <si>
    <t>Дзержинского,23</t>
  </si>
  <si>
    <t>Ленина 78</t>
  </si>
  <si>
    <t>Ленина,113</t>
  </si>
  <si>
    <t>Общая площадь дома</t>
  </si>
  <si>
    <t xml:space="preserve">содержание УК </t>
  </si>
  <si>
    <t>содержание УК</t>
  </si>
  <si>
    <t>май</t>
  </si>
  <si>
    <t>Доценко 3</t>
  </si>
  <si>
    <t xml:space="preserve">содержание УК  </t>
  </si>
  <si>
    <t>Директор _______________Пономарев О.И.</t>
  </si>
  <si>
    <t>м2</t>
  </si>
  <si>
    <t>сбор платежей тариф с 1м2</t>
  </si>
  <si>
    <t>содержание УК тариф с 1м2</t>
  </si>
  <si>
    <t>аварийная служба тариф с 1м2</t>
  </si>
  <si>
    <t>Итого поступило (оплата жильцов)</t>
  </si>
  <si>
    <t>Ленина 103</t>
  </si>
  <si>
    <t>2МКР,7</t>
  </si>
  <si>
    <t>Ленина 121</t>
  </si>
  <si>
    <t>Ленина 123</t>
  </si>
  <si>
    <t>Чапаева 10</t>
  </si>
  <si>
    <t>Ленина 66</t>
  </si>
  <si>
    <t>Тех.обслуживание(электрики)</t>
  </si>
  <si>
    <t>Тех.обслуживание (электрики)</t>
  </si>
  <si>
    <t>Ревизия задвижек,вентилей на системе отопления,промывка   и опрессовка системы отопления,заполнение ХВС системы отопления</t>
  </si>
  <si>
    <t>Запуск полотенцесушителей 4 подъезда</t>
  </si>
  <si>
    <t>Освещение подвального помещения</t>
  </si>
  <si>
    <t>Осмотр чердачного и подвального помещения к олимпиаде</t>
  </si>
  <si>
    <t>Красногвардейская 11</t>
  </si>
  <si>
    <t>советская 1</t>
  </si>
  <si>
    <t>Директор ООО "Наш Дом"                           Пономарев О.И.</t>
  </si>
  <si>
    <t>Директор ООО "Наш Дом"                            Пономарев О.И.</t>
  </si>
  <si>
    <t>Уборка подъездов</t>
  </si>
  <si>
    <t>Уборка поъездов</t>
  </si>
  <si>
    <t>вывоз мусора</t>
  </si>
  <si>
    <t>Директор ООО "Наш Дом"                             Пономарев О.И.</t>
  </si>
  <si>
    <t>Директор ООО "Наш Дом"                              Пономарев О.И.</t>
  </si>
  <si>
    <t>Директор ООО "Наш Дом"                          Пономарев О.И.</t>
  </si>
  <si>
    <t>Директор ООО "Наш Дом"</t>
  </si>
  <si>
    <t>О.И. Пономарев</t>
  </si>
  <si>
    <t>Аренда подвального помещения</t>
  </si>
  <si>
    <t xml:space="preserve">Остаток </t>
  </si>
  <si>
    <t>Тех.обсл.встроен.помещений</t>
  </si>
  <si>
    <t>Эксплуатация сетей ХВС</t>
  </si>
  <si>
    <t>Осенне-зимние и весенне-летние осмотры</t>
  </si>
  <si>
    <t>Эксплуатация линий электрических сетей</t>
  </si>
  <si>
    <t>Осмотр кровель</t>
  </si>
  <si>
    <t>Осмотр фундаментов</t>
  </si>
  <si>
    <t>Осмотр подъездов</t>
  </si>
  <si>
    <t>Эксплуатация системы центрального отопления в год</t>
  </si>
  <si>
    <t>Осмотр устройств в подвальных помещениях</t>
  </si>
  <si>
    <t>Промывка системы отопления</t>
  </si>
  <si>
    <t>Эксплуатация системы центрального отопления</t>
  </si>
  <si>
    <t>Плановые частичные осмотры канализации</t>
  </si>
  <si>
    <t>Эксплуатация системы центр.отопления</t>
  </si>
  <si>
    <t>Эксплуатация систем ХВС и ГВС</t>
  </si>
  <si>
    <t xml:space="preserve">Эксплуатация линий электрических сетей </t>
  </si>
  <si>
    <t>Осмотр устройств в подвальном помещении</t>
  </si>
  <si>
    <t>Промывка и опрессовка системы отопления</t>
  </si>
  <si>
    <t>Эксплуатация линий элетрических сетей</t>
  </si>
  <si>
    <t>Осмотр устройств в подвале</t>
  </si>
  <si>
    <t>Осмотр фундамента</t>
  </si>
  <si>
    <t>Эксплуатация сетей ХВС и ГВС</t>
  </si>
  <si>
    <t>осмотр кровель</t>
  </si>
  <si>
    <t>осмотр фундамента</t>
  </si>
  <si>
    <t>осмотр подъездов</t>
  </si>
  <si>
    <t xml:space="preserve">Эксплуатация системы центрального отопления </t>
  </si>
  <si>
    <t>Эксплуатация системы ХВС и ГВС</t>
  </si>
  <si>
    <t>Осмотр кровли</t>
  </si>
  <si>
    <t>Осмотр подъезда</t>
  </si>
  <si>
    <t>Эксплуатация сетей ХВС ГВС</t>
  </si>
  <si>
    <t>Эксплуатация системы  ХВС</t>
  </si>
  <si>
    <t>Эксплуатация сетей ХВС м ГВС</t>
  </si>
  <si>
    <t>Осенне -зимние и весенне-летние осмотры</t>
  </si>
  <si>
    <t>Заработная плата уборщице</t>
  </si>
  <si>
    <t>Промывка и резивия запорной арматуры</t>
  </si>
  <si>
    <t>Промывка и ревизия системы отопления</t>
  </si>
  <si>
    <t>Промывка ревизия,опрессовка системы отопления</t>
  </si>
  <si>
    <t>Изоляция системы отопления</t>
  </si>
  <si>
    <t>Ленина90</t>
  </si>
  <si>
    <t>Тех.обслуживание встроенных помещений</t>
  </si>
  <si>
    <t>Ростелеком</t>
  </si>
  <si>
    <t>ТО ВДГО</t>
  </si>
  <si>
    <t>Ст-ть смет</t>
  </si>
  <si>
    <t>сбор платежей МФЦ</t>
  </si>
  <si>
    <t>Испытание трубопроводов системы центрального отопления в год</t>
  </si>
  <si>
    <t>Окончательная проверка системы в целом в год</t>
  </si>
  <si>
    <t>Испытание трубопроводов системы центрального отопления</t>
  </si>
  <si>
    <t>Окончательная проверка при сдаче системы в год</t>
  </si>
  <si>
    <t>Испытание системы центрального отопления</t>
  </si>
  <si>
    <t>Окончательная проверка системы в целом</t>
  </si>
  <si>
    <t>Испытание системы центрального отопления в год</t>
  </si>
  <si>
    <t>Окончательная проверка системы при сдаче</t>
  </si>
  <si>
    <t>Окончательная проверка при сдаче системы</t>
  </si>
  <si>
    <t>Рабочая проверка системы в целом</t>
  </si>
  <si>
    <t>Сброс воздуха из системы отопления</t>
  </si>
  <si>
    <t xml:space="preserve">Испытание системы отопления </t>
  </si>
  <si>
    <t>Окончательная проверка системы отопления</t>
  </si>
  <si>
    <t>Окончательная проверка системы в год</t>
  </si>
  <si>
    <t>Отбивка от бетонированного козырька над входом штукатурки,закрытие смотровой ямы</t>
  </si>
  <si>
    <t>Снятие кодового замка,установка замка</t>
  </si>
  <si>
    <t>Заделка железом смотровой ямы</t>
  </si>
  <si>
    <t>Ремонт тройника кв.35</t>
  </si>
  <si>
    <t>Обследование и замер на кровле парапета для изготовления железных парапетов</t>
  </si>
  <si>
    <t>Изготовление каркасов для покрытия смотровых ям,резка трубы,сварка</t>
  </si>
  <si>
    <t>Частичная замена трубы отопления,замена сгона на радиаторах,сварочные работы</t>
  </si>
  <si>
    <t>Изоляция системы отопления,прокрутка вентилей,задвижей</t>
  </si>
  <si>
    <t>Регулировка системы отопления кв.19,35</t>
  </si>
  <si>
    <t>Ремонт системы отопления, монтаж-демонтаж радиатора,замена сгона 15,сброс воздуха</t>
  </si>
  <si>
    <t>Техобслуживание подвала</t>
  </si>
  <si>
    <t>Ремонт дверного полотна (сварка)</t>
  </si>
  <si>
    <t>Заделка на чердачном помещении отверстий от голубей,закрытие входов на кровлю</t>
  </si>
  <si>
    <t>Установка поручней при входе в подъезд</t>
  </si>
  <si>
    <t>Ремонт смывного бачка,замена проходного вентиля кв.58</t>
  </si>
  <si>
    <t>Прокрутка вентилей,поправка изоляции</t>
  </si>
  <si>
    <t>Замена сгона на радиаторе,нарезка резьбы,отогрев пробки радиатора кв.6</t>
  </si>
  <si>
    <t>Частичная замена трубы кнс в подвале</t>
  </si>
  <si>
    <t>Заделка в подвале оконных проемов от сквозняка,ремонт дверных полотен</t>
  </si>
  <si>
    <t>Врезка в двери подвального помещения внутреннего замка</t>
  </si>
  <si>
    <t>Остекление в 2 подъезде оконных рам</t>
  </si>
  <si>
    <t>Установка решетки в подвале, укрепление решетки</t>
  </si>
  <si>
    <t>Крепеж трубы отопления,прокрутка вентилей</t>
  </si>
  <si>
    <t>Проверка системы отопления</t>
  </si>
  <si>
    <t>Подгонка дверных полотен входов в подъезд</t>
  </si>
  <si>
    <t xml:space="preserve">Замена лежака ХВС </t>
  </si>
  <si>
    <t>Заделка канализационных труб в подвале</t>
  </si>
  <si>
    <t>Обрезка веток,уборка от веток</t>
  </si>
  <si>
    <t>Побелка деревьев,закрытие двери в узле управления</t>
  </si>
  <si>
    <t>Замена тройника КНС д.110 кв.10,11</t>
  </si>
  <si>
    <t>Заделка разлома после ремонта системы канализации</t>
  </si>
  <si>
    <t>Ремонт дверных запоров входа в подвал</t>
  </si>
  <si>
    <t>Обследование подвала</t>
  </si>
  <si>
    <t>Замена проходного вентиля д.15 кв.56</t>
  </si>
  <si>
    <t>Ремонт дверного блока,установка кода на замке входной двери</t>
  </si>
  <si>
    <t>Ремонт дверной коробки 2 подъезд вместе с полотном,установка запорной арматуры</t>
  </si>
  <si>
    <t>Установка фасонины на выход на чердак</t>
  </si>
  <si>
    <t>Снятие и ремонт кодового замка</t>
  </si>
  <si>
    <t>Регулировка дверного доводчика, ремонт дверной ручки</t>
  </si>
  <si>
    <t>Ремонт дверного замка, установка ручки</t>
  </si>
  <si>
    <t>Штеменко 16</t>
  </si>
  <si>
    <t>13,70 руб. с м2</t>
  </si>
  <si>
    <t>Частичная замена кнс д.110</t>
  </si>
  <si>
    <t>Замена стояка д.110</t>
  </si>
  <si>
    <t>Ремонт во дворе качелей,сварка трубы,резка болгаркой</t>
  </si>
  <si>
    <t>Заделка слухового окна , сброс снега над кв.52</t>
  </si>
  <si>
    <t>Ремонт дверных полотен ,установка фасонины</t>
  </si>
  <si>
    <t>Установка на входные двери запорной арматуры подъезд 2,3</t>
  </si>
  <si>
    <t>Установка доводчиков</t>
  </si>
  <si>
    <t>Установка на новые двери доводчика</t>
  </si>
  <si>
    <t>Установка доводчика</t>
  </si>
  <si>
    <t>Установка на двери запорной арматуры</t>
  </si>
  <si>
    <t>Установка новых подъездных дверей</t>
  </si>
  <si>
    <t>оплата за встроенные помещения</t>
  </si>
  <si>
    <t>,</t>
  </si>
  <si>
    <t>Телевидение</t>
  </si>
  <si>
    <t>Остаток на 01.01.2014г.</t>
  </si>
  <si>
    <t>ост.на 01.01.2014г.</t>
  </si>
  <si>
    <t>ИП Лябин</t>
  </si>
  <si>
    <t>Ип Лябин</t>
  </si>
  <si>
    <t>Остаток ден.средств на 01.01.2014г.-</t>
  </si>
  <si>
    <t>Оплата за тех.обсл.от МФЦ и Сапфир</t>
  </si>
  <si>
    <t>остаток на 01.01.2014г.</t>
  </si>
  <si>
    <t>Добровольные взносы председателю совета дома</t>
  </si>
  <si>
    <t>Замена шланга доводки кв.50</t>
  </si>
  <si>
    <t xml:space="preserve">Выполнение сварочных работ </t>
  </si>
  <si>
    <t>Замена крана на летнем водопроводе</t>
  </si>
  <si>
    <t>Ремнт смывного бачка кв.4</t>
  </si>
  <si>
    <t>Демонтаж радиаторов кв.48</t>
  </si>
  <si>
    <t>Замена проходного вентиля кв.20</t>
  </si>
  <si>
    <t>Ремонт смывного бачка кв.1</t>
  </si>
  <si>
    <t>Демонтаж радиаторов кв.30</t>
  </si>
  <si>
    <t>Замена крана 15</t>
  </si>
  <si>
    <t>Замена тройника д.110 кв.78</t>
  </si>
  <si>
    <t>Закрытие и блинение системы отопления,замена кранов,ревизия задвижек,вентилей</t>
  </si>
  <si>
    <t>Вывод фанового стояка кв.52</t>
  </si>
  <si>
    <t>Частичная замена стояка ХВС,ГВС кв.57</t>
  </si>
  <si>
    <t>Ремонт смывного бачка кв.28</t>
  </si>
  <si>
    <t>Частичная замена стояка отопления (магазин)</t>
  </si>
  <si>
    <t>Замена проходных кранов кв.49</t>
  </si>
  <si>
    <t>Ремонт летнего водопровода</t>
  </si>
  <si>
    <t>Замена проходного вентиля кв.15</t>
  </si>
  <si>
    <t>Замена крана д.15</t>
  </si>
  <si>
    <t>Замена тройника д.110 кв.1</t>
  </si>
  <si>
    <t>Замена подачи ГВС кв.29</t>
  </si>
  <si>
    <t>Врезка сбросника автомата кв.14</t>
  </si>
  <si>
    <t>Ремонт летнего водопровода, замена фанового стояка кв.16</t>
  </si>
  <si>
    <t>Закрытие задвижек отопления</t>
  </si>
  <si>
    <t>Закрытие задвижек системы отопления,вывод летнего водопровода</t>
  </si>
  <si>
    <t>Частичная замена стояка отопления кв.6-10</t>
  </si>
  <si>
    <t>Замена трубы ГВС кв.27,29</t>
  </si>
  <si>
    <t>Замена проходных вентилей кв.48</t>
  </si>
  <si>
    <t>Пробивка в квартире вентканала,прочистка вентканала кв.46</t>
  </si>
  <si>
    <t>Ремонт парапета над кв.13,14,укрепление отливов на парепетах, ремонт кровли</t>
  </si>
  <si>
    <t>Покос травы</t>
  </si>
  <si>
    <t>Покос травы во дворе</t>
  </si>
  <si>
    <t xml:space="preserve">Покраска детских снарядов </t>
  </si>
  <si>
    <t>Ремонт отмостки,ремонт порожек,ремонт цоколя,побелка цоколя</t>
  </si>
  <si>
    <t>Ремонт мягкой кровли кв.57</t>
  </si>
  <si>
    <t>Покраска ветровых досок на козырьках входов в подъезд</t>
  </si>
  <si>
    <t>Покраска досок на козырььках входов в подъезд</t>
  </si>
  <si>
    <t>Обследование дверного откоса</t>
  </si>
  <si>
    <t>Покраска ветровой доски второй раз</t>
  </si>
  <si>
    <t>Укрепление в подъездах 1,2 поручней</t>
  </si>
  <si>
    <t>Отбивка штукатурки</t>
  </si>
  <si>
    <t>Установка заборчика и лавочек</t>
  </si>
  <si>
    <t>Завоз щебня,ремонт дверных полотен,навес замка в узле управления,замена петель</t>
  </si>
  <si>
    <t>Установка во 2,3 подъездах поручней</t>
  </si>
  <si>
    <t>Покраска цоколя входов в подвал,покраска латок после штукатурки</t>
  </si>
  <si>
    <t>Установка на дверных полотнах запорной арматуры</t>
  </si>
  <si>
    <t xml:space="preserve">Очистка от голубиного помета кровли по заявлению </t>
  </si>
  <si>
    <t>Изготовление и установка на оконных блоках ограждения</t>
  </si>
  <si>
    <t>Ремонт заборчика во дворе дома</t>
  </si>
  <si>
    <t>Изготовление оконной рамы, остекление оконного проема</t>
  </si>
  <si>
    <t>Ремонт омостки,ремонт цоколя,частичная штукатурка,побелка цоколя</t>
  </si>
  <si>
    <t>Восстановление ,укрепление отливов на кровле со стороны проспекта</t>
  </si>
  <si>
    <t>Установка деревянных стоек,заделка железом отверстия около 1 подъезда</t>
  </si>
  <si>
    <t>Услуги по составлению сметы</t>
  </si>
  <si>
    <t xml:space="preserve">Ремонт балконов </t>
  </si>
  <si>
    <t>Ремонт кровли</t>
  </si>
  <si>
    <t>Отливы для парапетных плит</t>
  </si>
  <si>
    <t>Изготовление таблички</t>
  </si>
  <si>
    <t>Замена шифера</t>
  </si>
  <si>
    <t>Ремонт балкона</t>
  </si>
  <si>
    <t>Опиливание деревьев</t>
  </si>
  <si>
    <t>Щебень</t>
  </si>
  <si>
    <t>Изготовление и установка москиных сеток</t>
  </si>
  <si>
    <t>ремонт балкона</t>
  </si>
  <si>
    <t>Изготовление отливов</t>
  </si>
  <si>
    <t>Воронин А.Г.</t>
  </si>
  <si>
    <t>Установка металлопластиковых окон</t>
  </si>
  <si>
    <t>Замена лежака ХВС</t>
  </si>
  <si>
    <t>Замена стояков ГВС,ХВс кв.76,80,68,72</t>
  </si>
  <si>
    <t>Замена стояков ХВС кв.4-48</t>
  </si>
  <si>
    <t>Замена стояков ГВС,ХВС кв.1-13,40-52</t>
  </si>
  <si>
    <t xml:space="preserve"> начисления</t>
  </si>
  <si>
    <t xml:space="preserve">  начисления</t>
  </si>
  <si>
    <t>Изготовление отливов для парапета</t>
  </si>
  <si>
    <t>Ремонт и установка новых поручней</t>
  </si>
  <si>
    <t>Заделка в подъездах отвалившейся плитки,ремонт отмостки</t>
  </si>
  <si>
    <t>Лябин (размещение оборудования)</t>
  </si>
  <si>
    <t>Ростелеком (размещение оборудования)</t>
  </si>
  <si>
    <t>ИП Лябин (размещение оборудования)</t>
  </si>
  <si>
    <t>Ростелеком(размещение оборудования)</t>
  </si>
  <si>
    <t>ИП Лябин (за размещение оборудования)</t>
  </si>
  <si>
    <t>Ростелеком (за размещение оборудования</t>
  </si>
  <si>
    <t>Ростелеком (за размещение оборудования)</t>
  </si>
  <si>
    <t>Ип Лябин (за размещение оборудования)</t>
  </si>
  <si>
    <t>поступления от  встройки (кулинар, отдел по имуществу)</t>
  </si>
  <si>
    <t>Укрепление железного листа ограждения</t>
  </si>
  <si>
    <t>Ремонт дверной ручки,установка на дверь закрывающего устройства</t>
  </si>
  <si>
    <t>Установка фасонины на дверных полотнах</t>
  </si>
  <si>
    <t>Снятие и ремонт кодового замка,ремонт дверного полотна,установка фасонины</t>
  </si>
  <si>
    <t>Сварка в подъездах оторвавшихся поручней</t>
  </si>
  <si>
    <t>Прокрутка вентилей поправка изоляции</t>
  </si>
  <si>
    <t>Блинение системы отопления</t>
  </si>
  <si>
    <t>Прокрутка вентилей,частичная изоляция</t>
  </si>
  <si>
    <t>Установка водомера на летний водопровод</t>
  </si>
  <si>
    <t>Прокрутка вентилей, обход подвала</t>
  </si>
  <si>
    <t>Блинение задвижек</t>
  </si>
  <si>
    <t>Прокрутка вентилей, поправка изоляции</t>
  </si>
  <si>
    <t>Прочистка выпусков КНС</t>
  </si>
  <si>
    <t>Ремонт смывного бачка кв.44</t>
  </si>
  <si>
    <t>Ремонт смывного бачка кв.4</t>
  </si>
  <si>
    <t>Замена проходного вентиля кв.44</t>
  </si>
  <si>
    <t>Замена проходного вентиля кв.7</t>
  </si>
  <si>
    <t>Замена проходного вентиля кв.39</t>
  </si>
  <si>
    <t>Замена ввода ХВС д.110</t>
  </si>
  <si>
    <t>Частичная замена КНС д.110</t>
  </si>
  <si>
    <t>Ремонт смывного бачка ,замена проходного вентиля кв.47</t>
  </si>
  <si>
    <t>Частичная замена трубы КНС д.50 кв.21</t>
  </si>
  <si>
    <t>Прокрутка вентилей,замена изоляции</t>
  </si>
  <si>
    <t>Прокрутка вентилей,замена вентиля,замена шарового крана</t>
  </si>
  <si>
    <t>Замена вентилей,изоляция</t>
  </si>
  <si>
    <t>Замена вентилей,изоляция системы отопления</t>
  </si>
  <si>
    <t>Прокрутка вентилей,замена крана,изоляция системы отопления</t>
  </si>
  <si>
    <t>Прокрутка вентилей,прочистка трубы КНС,поправка изоляции</t>
  </si>
  <si>
    <t>Прокрутка вентилей, поравка изоляции</t>
  </si>
  <si>
    <t xml:space="preserve">Прокрутка вентилей,изоляция </t>
  </si>
  <si>
    <t>Прокрутка вентилей,зачеканка КНС</t>
  </si>
  <si>
    <t>Сброс воздуха,замена проходного вентиля</t>
  </si>
  <si>
    <t>прокрутка вентилей,частичная замена трубы кнс кв.46</t>
  </si>
  <si>
    <t>Прокрутка вентилей,зачеканка кнс,крепление трубы</t>
  </si>
  <si>
    <t>Ремонт смывного бачка,прокрутка вентилей кв.26</t>
  </si>
  <si>
    <t>Прокрутка вентилей,изоляция труб</t>
  </si>
  <si>
    <t>Сброс воздуха кв.59</t>
  </si>
  <si>
    <t>Закрытие задвижек системы отопления</t>
  </si>
  <si>
    <t xml:space="preserve">Частичная замена трубы отопления,замена кранов </t>
  </si>
  <si>
    <t>Ремонт вентиля кв.45</t>
  </si>
  <si>
    <t>Частичная замена трубы ГВС кв.19</t>
  </si>
  <si>
    <t>Монтаж крана летнего водопровода</t>
  </si>
  <si>
    <t>Остаток по т.о.</t>
  </si>
  <si>
    <t>Остаток по электр.</t>
  </si>
  <si>
    <t>Остаток по техническому обслуживанию</t>
  </si>
  <si>
    <t>Итого поступило за техническое обслуживание</t>
  </si>
  <si>
    <t>Изготовление и установка пандуса кв.57</t>
  </si>
  <si>
    <t>Пробивка вентканала кв.15</t>
  </si>
  <si>
    <t>Ремонт мягкой кровли над кв.52</t>
  </si>
  <si>
    <t>Ремонт мягкой кровли и вентканалов,штукатурка оголовков</t>
  </si>
  <si>
    <t>Штукатурка вытяжных оголовков,ремонт примыканий,уборка мусора</t>
  </si>
  <si>
    <t>Установка лавочки,ремонт оторвавшегося железа на балконе кв.33</t>
  </si>
  <si>
    <t>Спиливание железных балок на запорной арматуре</t>
  </si>
  <si>
    <t>Отделка оконных откосов в подъездах</t>
  </si>
  <si>
    <t>Ремонт входных порожек,битонирование</t>
  </si>
  <si>
    <t>Ремонт мягкой кровли над кв.24,ремонт парапета,заливка вокруг сливной трубы</t>
  </si>
  <si>
    <t>Изготовление по лестничной клеткой ограждения для хоз.нужд,заделка откосов после установки дверей</t>
  </si>
  <si>
    <t>Установка бруса на лавочки,</t>
  </si>
  <si>
    <t>Установка в 3 подъезде ограждения на оконных рамах</t>
  </si>
  <si>
    <t>Ремонт во втором подъезде второго дверного полотна</t>
  </si>
  <si>
    <t>Укрепление на дверных козырьках отливов,ремонт в 3-м подъезде дверной коробки</t>
  </si>
  <si>
    <t>Покраска стоек под навесом,покраска уголка,установка над подъездами водосточных отливов</t>
  </si>
  <si>
    <t>Ремонт дверного уличного замка справа от входа в подъезд, снятие замка</t>
  </si>
  <si>
    <t>Обследование кв.30 на протечку</t>
  </si>
  <si>
    <t>Ремонт отмостки с проспекта,покраска цоколя в 2 раза,ремонт входных дверей</t>
  </si>
  <si>
    <t>Ремонт смотровой ямы,забивка отверстий на чердаке от попадания голубей</t>
  </si>
  <si>
    <t>Ремонт с проспекта отмостки,побелка цоколя в два раза,заделка отмостки со стороны розариума</t>
  </si>
  <si>
    <t>Частичная замена стояка ГВС (подвал)</t>
  </si>
  <si>
    <t>Частичная замена стояка ГВС, пробитие перекрытия кв.41-43</t>
  </si>
  <si>
    <t>Частичная замена стояка ГВС кв.5,46</t>
  </si>
  <si>
    <t>Ремонт смывного бачка,прочистка проходного вентиля кв.86</t>
  </si>
  <si>
    <t>Сварочные работы, отопление</t>
  </si>
  <si>
    <t>Советская 2</t>
  </si>
  <si>
    <t>Обследование стояка ГВС,нет циркуляции кв.35</t>
  </si>
  <si>
    <t>Сварочные работы,замена трубы отопления</t>
  </si>
  <si>
    <t>Вывод летнего водопровода</t>
  </si>
  <si>
    <t>Сварочные работы</t>
  </si>
  <si>
    <t>Замена тройника КНС д. 110 кв.4</t>
  </si>
  <si>
    <t>Замена трубы КНС подвал</t>
  </si>
  <si>
    <t>Сварочные работы,ремонт отопления</t>
  </si>
  <si>
    <t>Замена КНС,пробитие перекрытия кв.21</t>
  </si>
  <si>
    <t>Замена трубы КНС,тройника</t>
  </si>
  <si>
    <t>Промывка и опрессовка системы отопления,ревизия запорной арматуры</t>
  </si>
  <si>
    <t>Замена фанового стояка кв.55</t>
  </si>
  <si>
    <t>Заделка чердачного помещения окна на кровле,установка лавочки</t>
  </si>
  <si>
    <t>Изготовление и установка пандусов кв.37</t>
  </si>
  <si>
    <t>Ленина 88</t>
  </si>
  <si>
    <t>Ремонт лаза выхода на кровлю</t>
  </si>
  <si>
    <t>Замена кодового замка,установка на входной двери запорной арматуры</t>
  </si>
  <si>
    <t>Прочистка сливных отливов от попадания мусора п.№ 4,5</t>
  </si>
  <si>
    <t>Покраска лобовой доски,козырьков входа в подъезд, покраска трубы</t>
  </si>
  <si>
    <t>Отделка в 2-х подъездах откосов,установка дверных коробок вместе с полотнищами</t>
  </si>
  <si>
    <t>Ремонт дверной калитки,подгонка ячейки замка</t>
  </si>
  <si>
    <t>Ремонт мягкой кровли над лоджией кв.43</t>
  </si>
  <si>
    <t>Укрепление на кровле на парапете отливов</t>
  </si>
  <si>
    <t xml:space="preserve">Снятие оконных решеток и приваривание </t>
  </si>
  <si>
    <t>Ремонт порожек,бетонирование крылец, заливка отмостки</t>
  </si>
  <si>
    <t>Замена крестовины,частичная замена стояка кнс кв.10,14,15</t>
  </si>
  <si>
    <t>Установка металлической двери</t>
  </si>
  <si>
    <t>Стоимость смет</t>
  </si>
  <si>
    <t>Стоимость сметы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</si>
</sst>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b/>
      <sz val="14"/>
      <name val="Arial Cyr"/>
      <family val="0"/>
    </font>
    <font>
      <sz val="14"/>
      <color indexed="9"/>
      <name val="Arial Cyr"/>
      <family val="0"/>
    </font>
    <font>
      <sz val="14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3">
    <xf numFmtId="0" fontId="0" fillId="0" borderId="0" xfId="0" applyAlignment="1">
      <alignment/>
    </xf>
    <xf numFmtId="2" fontId="2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5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2" fontId="6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" fontId="7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0" xfId="0" applyNumberFormat="1" applyFont="1" applyBorder="1" applyAlignment="1">
      <alignment wrapText="1" shrinkToFit="1"/>
    </xf>
    <xf numFmtId="2" fontId="8" fillId="0" borderId="10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24" borderId="10" xfId="0" applyNumberFormat="1" applyFont="1" applyFill="1" applyBorder="1" applyAlignment="1">
      <alignment/>
    </xf>
    <xf numFmtId="2" fontId="0" fillId="0" borderId="11" xfId="0" applyNumberForma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0" fillId="25" borderId="10" xfId="0" applyNumberFormat="1" applyFill="1" applyBorder="1" applyAlignment="1">
      <alignment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Fill="1" applyBorder="1" applyAlignment="1">
      <alignment wrapText="1" shrinkToFit="1"/>
    </xf>
    <xf numFmtId="2" fontId="0" fillId="0" borderId="10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8" fillId="0" borderId="10" xfId="0" applyNumberFormat="1" applyFont="1" applyBorder="1" applyAlignment="1">
      <alignment/>
    </xf>
    <xf numFmtId="2" fontId="27" fillId="0" borderId="10" xfId="0" applyNumberFormat="1" applyFont="1" applyBorder="1" applyAlignment="1">
      <alignment wrapText="1"/>
    </xf>
    <xf numFmtId="2" fontId="29" fillId="0" borderId="10" xfId="0" applyNumberFormat="1" applyFont="1" applyBorder="1" applyAlignment="1">
      <alignment/>
    </xf>
    <xf numFmtId="2" fontId="27" fillId="0" borderId="10" xfId="0" applyNumberFormat="1" applyFont="1" applyFill="1" applyBorder="1" applyAlignment="1">
      <alignment/>
    </xf>
    <xf numFmtId="2" fontId="29" fillId="25" borderId="10" xfId="0" applyNumberFormat="1" applyFont="1" applyFill="1" applyBorder="1" applyAlignment="1">
      <alignment/>
    </xf>
    <xf numFmtId="2" fontId="27" fillId="25" borderId="10" xfId="0" applyNumberFormat="1" applyFont="1" applyFill="1" applyBorder="1" applyAlignment="1">
      <alignment/>
    </xf>
    <xf numFmtId="2" fontId="30" fillId="0" borderId="10" xfId="0" applyNumberFormat="1" applyFont="1" applyBorder="1" applyAlignment="1">
      <alignment/>
    </xf>
    <xf numFmtId="2" fontId="28" fillId="0" borderId="11" xfId="0" applyNumberFormat="1" applyFont="1" applyBorder="1" applyAlignment="1">
      <alignment/>
    </xf>
    <xf numFmtId="2" fontId="27" fillId="0" borderId="11" xfId="0" applyNumberFormat="1" applyFont="1" applyBorder="1" applyAlignment="1">
      <alignment/>
    </xf>
    <xf numFmtId="2" fontId="28" fillId="0" borderId="11" xfId="0" applyNumberFormat="1" applyFont="1" applyBorder="1" applyAlignment="1">
      <alignment/>
    </xf>
    <xf numFmtId="2" fontId="28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8" fillId="0" borderId="11" xfId="0" applyNumberFormat="1" applyFont="1" applyBorder="1" applyAlignment="1">
      <alignment horizontal="center"/>
    </xf>
    <xf numFmtId="2" fontId="28" fillId="0" borderId="12" xfId="0" applyNumberFormat="1" applyFont="1" applyBorder="1" applyAlignment="1">
      <alignment horizontal="center"/>
    </xf>
    <xf numFmtId="2" fontId="28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view="pageBreakPreview" zoomScale="96" zoomScaleNormal="80" zoomScaleSheetLayoutView="96" zoomScalePageLayoutView="0" workbookViewId="0" topLeftCell="A1">
      <pane xSplit="8" ySplit="12" topLeftCell="I34" activePane="bottomRight" state="frozen"/>
      <selection pane="topLeft" activeCell="A1" sqref="A1"/>
      <selection pane="topRight" activeCell="I1" sqref="I1"/>
      <selection pane="bottomLeft" activeCell="A13" sqref="A13"/>
      <selection pane="bottomRight" activeCell="A42" sqref="A42"/>
    </sheetView>
  </sheetViews>
  <sheetFormatPr defaultColWidth="9.00390625" defaultRowHeight="12.75"/>
  <cols>
    <col min="1" max="1" width="38.875" style="14" customWidth="1"/>
    <col min="2" max="2" width="10.125" style="14" customWidth="1"/>
    <col min="3" max="3" width="8.875" style="14" customWidth="1"/>
    <col min="4" max="4" width="8.75390625" style="14" customWidth="1"/>
    <col min="5" max="5" width="9.375" style="14" customWidth="1"/>
    <col min="6" max="6" width="8.875" style="14" customWidth="1"/>
    <col min="7" max="7" width="9.00390625" style="14" customWidth="1"/>
    <col min="8" max="8" width="9.125" style="14" customWidth="1"/>
    <col min="9" max="9" width="8.25390625" style="14" customWidth="1"/>
    <col min="10" max="12" width="9.125" style="14" customWidth="1"/>
    <col min="13" max="15" width="9.25390625" style="14" bestFit="1" customWidth="1"/>
    <col min="16" max="16" width="9.375" style="14" bestFit="1" customWidth="1"/>
    <col min="17" max="16384" width="9.125" style="14" customWidth="1"/>
  </cols>
  <sheetData>
    <row r="1" spans="1:16" s="12" customFormat="1" ht="12.75">
      <c r="A1" s="2" t="s">
        <v>422</v>
      </c>
      <c r="B1" s="2">
        <v>2024.1</v>
      </c>
      <c r="C1" s="2"/>
      <c r="D1" s="2"/>
      <c r="E1" s="2"/>
      <c r="F1" s="2"/>
      <c r="G1" s="2"/>
      <c r="H1" s="2"/>
      <c r="I1" s="2"/>
      <c r="J1" s="2"/>
      <c r="K1" s="2" t="s">
        <v>448</v>
      </c>
      <c r="L1" s="2" t="s">
        <v>602</v>
      </c>
      <c r="M1" s="2"/>
      <c r="N1" s="2"/>
      <c r="O1" s="2"/>
      <c r="P1" s="2">
        <v>-9888.26</v>
      </c>
    </row>
    <row r="2" spans="1:16" ht="12.75">
      <c r="A2" s="1" t="s">
        <v>421</v>
      </c>
      <c r="B2" s="1">
        <f>PRODUCT(B1,10.65)</f>
        <v>21556.665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2" customFormat="1" ht="12.75">
      <c r="A3" s="2" t="s">
        <v>409</v>
      </c>
      <c r="B3" s="2" t="s">
        <v>410</v>
      </c>
      <c r="C3" s="2" t="s">
        <v>434</v>
      </c>
      <c r="D3" s="2" t="s">
        <v>438</v>
      </c>
      <c r="E3" s="2" t="s">
        <v>437</v>
      </c>
      <c r="F3" s="2" t="s">
        <v>436</v>
      </c>
      <c r="G3" s="2" t="s">
        <v>413</v>
      </c>
      <c r="H3" s="2" t="s">
        <v>414</v>
      </c>
      <c r="I3" s="2" t="s">
        <v>416</v>
      </c>
      <c r="J3" s="2" t="s">
        <v>417</v>
      </c>
      <c r="K3" s="2" t="s">
        <v>423</v>
      </c>
      <c r="L3" s="2" t="s">
        <v>424</v>
      </c>
      <c r="M3" s="2" t="s">
        <v>425</v>
      </c>
      <c r="N3" s="2" t="s">
        <v>426</v>
      </c>
      <c r="O3" s="2" t="s">
        <v>434</v>
      </c>
      <c r="P3" s="2" t="s">
        <v>282</v>
      </c>
    </row>
    <row r="4" spans="1:16" ht="12.75">
      <c r="A4" s="1" t="s">
        <v>411</v>
      </c>
      <c r="B4" s="1">
        <v>1.57</v>
      </c>
      <c r="C4" s="1">
        <f>B4*B1</f>
        <v>3177.837</v>
      </c>
      <c r="D4" s="1">
        <f>B4*B1</f>
        <v>3177.837</v>
      </c>
      <c r="E4" s="1">
        <f>B4*B1</f>
        <v>3177.837</v>
      </c>
      <c r="F4" s="1">
        <f>B4*B1</f>
        <v>3177.837</v>
      </c>
      <c r="G4" s="1">
        <f>B4*B1</f>
        <v>3177.837</v>
      </c>
      <c r="H4" s="1">
        <v>3177.84</v>
      </c>
      <c r="I4" s="1">
        <v>3177.84</v>
      </c>
      <c r="J4" s="1">
        <v>3177.84</v>
      </c>
      <c r="K4" s="1"/>
      <c r="L4" s="1"/>
      <c r="M4" s="1"/>
      <c r="N4" s="1"/>
      <c r="O4" s="1"/>
      <c r="P4" s="1">
        <f aca="true" t="shared" si="0" ref="P4:P14">SUM(C4:O4)</f>
        <v>25422.705</v>
      </c>
    </row>
    <row r="5" spans="1:16" ht="12.75">
      <c r="A5" s="1" t="s">
        <v>455</v>
      </c>
      <c r="B5" s="1">
        <v>1.6</v>
      </c>
      <c r="C5" s="1">
        <f>B5*B1</f>
        <v>3238.56</v>
      </c>
      <c r="D5" s="1">
        <f>B5*B1</f>
        <v>3238.56</v>
      </c>
      <c r="E5" s="1">
        <f>B5*B1</f>
        <v>3238.56</v>
      </c>
      <c r="F5" s="1">
        <f>B5*B1</f>
        <v>3238.56</v>
      </c>
      <c r="G5" s="1">
        <f>B5*B1</f>
        <v>3238.56</v>
      </c>
      <c r="H5" s="1">
        <v>3238.56</v>
      </c>
      <c r="I5" s="1">
        <v>3238.56</v>
      </c>
      <c r="J5" s="1">
        <v>3238.56</v>
      </c>
      <c r="K5" s="1"/>
      <c r="L5" s="1"/>
      <c r="M5" s="1"/>
      <c r="N5" s="1"/>
      <c r="O5" s="1"/>
      <c r="P5" s="1">
        <f t="shared" si="0"/>
        <v>25908.480000000003</v>
      </c>
    </row>
    <row r="6" spans="1:16" ht="12.75">
      <c r="A6" s="1" t="s">
        <v>412</v>
      </c>
      <c r="B6" s="1">
        <v>1.6</v>
      </c>
      <c r="C6" s="1">
        <f>B6*B1</f>
        <v>3238.56</v>
      </c>
      <c r="D6" s="1">
        <f>B6*B1</f>
        <v>3238.56</v>
      </c>
      <c r="E6" s="1">
        <f>B6*B1</f>
        <v>3238.56</v>
      </c>
      <c r="F6" s="1">
        <f>B6*B1</f>
        <v>3238.56</v>
      </c>
      <c r="G6" s="1">
        <f>B6*B1</f>
        <v>3238.56</v>
      </c>
      <c r="H6" s="1">
        <v>3238.56</v>
      </c>
      <c r="I6" s="1">
        <v>3238.56</v>
      </c>
      <c r="J6" s="1">
        <v>3238.56</v>
      </c>
      <c r="K6" s="1"/>
      <c r="L6" s="1"/>
      <c r="M6" s="1"/>
      <c r="N6" s="1"/>
      <c r="O6" s="1"/>
      <c r="P6" s="1">
        <f t="shared" si="0"/>
        <v>25908.480000000003</v>
      </c>
    </row>
    <row r="7" spans="1:16" ht="12.75">
      <c r="A7" s="1" t="s">
        <v>491</v>
      </c>
      <c r="B7" s="1">
        <v>0.44</v>
      </c>
      <c r="C7" s="1">
        <v>890.6</v>
      </c>
      <c r="D7" s="1">
        <v>890.6</v>
      </c>
      <c r="E7" s="1">
        <v>890.6</v>
      </c>
      <c r="F7" s="1">
        <v>890.6</v>
      </c>
      <c r="G7" s="1">
        <v>890.6</v>
      </c>
      <c r="H7" s="1">
        <v>890.6</v>
      </c>
      <c r="I7" s="1">
        <v>890.6</v>
      </c>
      <c r="J7" s="1">
        <v>890.6</v>
      </c>
      <c r="K7" s="1"/>
      <c r="L7" s="1"/>
      <c r="M7" s="1"/>
      <c r="N7" s="1"/>
      <c r="O7" s="1"/>
      <c r="P7" s="1">
        <f>SUM(C7:O7)</f>
        <v>7124.800000000001</v>
      </c>
    </row>
    <row r="8" spans="1:16" ht="22.5" customHeight="1">
      <c r="A8" s="3" t="s">
        <v>237</v>
      </c>
      <c r="B8" s="1"/>
      <c r="C8" s="1">
        <v>2712</v>
      </c>
      <c r="D8" s="1">
        <v>2712</v>
      </c>
      <c r="E8" s="1">
        <v>2712</v>
      </c>
      <c r="F8" s="1">
        <v>2712</v>
      </c>
      <c r="G8" s="1">
        <v>2712</v>
      </c>
      <c r="H8" s="1">
        <v>2712</v>
      </c>
      <c r="I8" s="1">
        <v>2712</v>
      </c>
      <c r="J8" s="1">
        <v>2712</v>
      </c>
      <c r="K8" s="1"/>
      <c r="L8" s="1"/>
      <c r="M8" s="1"/>
      <c r="N8" s="1"/>
      <c r="O8" s="1"/>
      <c r="P8" s="1">
        <f>SUM(C8:O8)</f>
        <v>21696</v>
      </c>
    </row>
    <row r="9" spans="1:16" ht="12.75">
      <c r="A9" s="3" t="s">
        <v>435</v>
      </c>
      <c r="B9" s="1">
        <v>0.66</v>
      </c>
      <c r="C9" s="1">
        <v>1335.91</v>
      </c>
      <c r="D9" s="1">
        <v>1335.91</v>
      </c>
      <c r="E9" s="1">
        <v>1335.91</v>
      </c>
      <c r="F9" s="1">
        <v>1335.91</v>
      </c>
      <c r="G9" s="1">
        <v>1335.91</v>
      </c>
      <c r="H9" s="1">
        <v>1335.91</v>
      </c>
      <c r="I9" s="1">
        <v>1335.91</v>
      </c>
      <c r="J9" s="1">
        <v>1335.91</v>
      </c>
      <c r="K9" s="1"/>
      <c r="L9" s="1"/>
      <c r="M9" s="1"/>
      <c r="N9" s="1"/>
      <c r="O9" s="1"/>
      <c r="P9" s="1">
        <f>SUM(C9:O9)</f>
        <v>10687.28</v>
      </c>
    </row>
    <row r="10" spans="1:16" ht="12.75">
      <c r="A10" s="3" t="s">
        <v>478</v>
      </c>
      <c r="B10" s="1"/>
      <c r="C10" s="1">
        <v>2712</v>
      </c>
      <c r="D10" s="1">
        <v>2712</v>
      </c>
      <c r="E10" s="1">
        <v>2712</v>
      </c>
      <c r="F10" s="1">
        <v>2712</v>
      </c>
      <c r="G10" s="1">
        <v>2712</v>
      </c>
      <c r="H10" s="1">
        <v>2712</v>
      </c>
      <c r="I10" s="1">
        <v>2712</v>
      </c>
      <c r="J10" s="1">
        <v>2712</v>
      </c>
      <c r="K10" s="1"/>
      <c r="L10" s="1"/>
      <c r="M10" s="1"/>
      <c r="N10" s="1"/>
      <c r="O10" s="1"/>
      <c r="P10" s="1">
        <f>SUM(C10:O10)</f>
        <v>21696</v>
      </c>
    </row>
    <row r="11" spans="1:16" ht="12.75">
      <c r="A11" s="3" t="s">
        <v>278</v>
      </c>
      <c r="B11" s="1"/>
      <c r="C11" s="1">
        <v>500</v>
      </c>
      <c r="D11" s="1">
        <v>500</v>
      </c>
      <c r="E11" s="1">
        <v>500</v>
      </c>
      <c r="F11" s="1">
        <v>500</v>
      </c>
      <c r="G11" s="1">
        <v>0</v>
      </c>
      <c r="H11" s="1"/>
      <c r="I11" s="1"/>
      <c r="J11" s="1"/>
      <c r="K11" s="1"/>
      <c r="L11" s="1"/>
      <c r="M11" s="1"/>
      <c r="N11" s="1"/>
      <c r="O11" s="1"/>
      <c r="P11" s="1">
        <v>2000</v>
      </c>
    </row>
    <row r="12" spans="1:16" ht="12.75">
      <c r="A12" s="3" t="s">
        <v>429</v>
      </c>
      <c r="B12" s="1"/>
      <c r="C12" s="1">
        <v>93.11</v>
      </c>
      <c r="D12" s="1">
        <v>93.11</v>
      </c>
      <c r="E12" s="1">
        <v>93.11</v>
      </c>
      <c r="F12" s="1">
        <v>93.11</v>
      </c>
      <c r="G12" s="1">
        <v>93.1</v>
      </c>
      <c r="H12" s="1">
        <v>64.77</v>
      </c>
      <c r="I12" s="1">
        <v>293.5</v>
      </c>
      <c r="J12" s="1">
        <v>293.5</v>
      </c>
      <c r="K12" s="1"/>
      <c r="L12" s="1"/>
      <c r="M12" s="1"/>
      <c r="N12" s="1"/>
      <c r="O12" s="1"/>
      <c r="P12" s="1">
        <f>SUM(C12:N12)</f>
        <v>1117.31</v>
      </c>
    </row>
    <row r="13" spans="1:16" ht="13.5" customHeight="1">
      <c r="A13" s="3" t="s">
        <v>283</v>
      </c>
      <c r="B13" s="1"/>
      <c r="C13" s="1"/>
      <c r="D13" s="1"/>
      <c r="E13" s="1"/>
      <c r="F13" s="1">
        <v>828.32</v>
      </c>
      <c r="G13" s="1"/>
      <c r="H13" s="1"/>
      <c r="I13" s="1"/>
      <c r="J13" s="1"/>
      <c r="K13" s="1"/>
      <c r="L13" s="1"/>
      <c r="M13" s="1"/>
      <c r="N13" s="1"/>
      <c r="O13" s="1"/>
      <c r="P13" s="1">
        <f t="shared" si="0"/>
        <v>828.32</v>
      </c>
    </row>
    <row r="14" spans="1:16" ht="12.75">
      <c r="A14" s="1" t="s">
        <v>284</v>
      </c>
      <c r="B14" s="1"/>
      <c r="C14" s="1"/>
      <c r="D14" s="1"/>
      <c r="E14" s="1">
        <v>3398.27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si="0"/>
        <v>3398.27</v>
      </c>
    </row>
    <row r="15" spans="1:16" ht="33.75">
      <c r="A15" s="3" t="s">
        <v>285</v>
      </c>
      <c r="B15" s="1"/>
      <c r="C15" s="1"/>
      <c r="D15" s="1"/>
      <c r="E15" s="1">
        <v>1777.64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f>SUM(C15:O15)</f>
        <v>1777.64</v>
      </c>
    </row>
    <row r="16" spans="1:16" ht="22.5">
      <c r="A16" s="3" t="s">
        <v>286</v>
      </c>
      <c r="B16" s="1"/>
      <c r="C16" s="1"/>
      <c r="D16" s="1">
        <v>828.32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f>SUM(C16:O16)</f>
        <v>828.32</v>
      </c>
    </row>
    <row r="17" spans="1:16" ht="22.5">
      <c r="A17" s="3" t="s">
        <v>287</v>
      </c>
      <c r="B17" s="1"/>
      <c r="C17" s="1"/>
      <c r="D17" s="1">
        <v>828.32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>SUM(C17:O17)</f>
        <v>828.32</v>
      </c>
    </row>
    <row r="18" spans="1:16" ht="15.75" customHeight="1">
      <c r="A18" s="1" t="s">
        <v>288</v>
      </c>
      <c r="B18" s="1"/>
      <c r="C18" s="1"/>
      <c r="D18" s="1">
        <v>30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f>SUM(C18:O18)</f>
        <v>30</v>
      </c>
    </row>
    <row r="19" spans="1:16" ht="26.25" customHeight="1">
      <c r="A19" s="3" t="s">
        <v>289</v>
      </c>
      <c r="B19" s="1"/>
      <c r="C19" s="1"/>
      <c r="D19" s="1">
        <v>1128.32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f>SUM(C19:O19)</f>
        <v>1128.32</v>
      </c>
    </row>
    <row r="20" spans="1:16" ht="13.5" customHeight="1">
      <c r="A20" s="3" t="s">
        <v>290</v>
      </c>
      <c r="B20" s="1"/>
      <c r="C20" s="1"/>
      <c r="D20" s="1">
        <v>3563.96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>SUM(D20:O20)</f>
        <v>3563.96</v>
      </c>
    </row>
    <row r="21" spans="1:16" ht="24.75" customHeight="1">
      <c r="A21" s="3" t="s">
        <v>291</v>
      </c>
      <c r="B21" s="1"/>
      <c r="C21" s="1"/>
      <c r="D21" s="1">
        <v>207.08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f>SUM(C21:O21)</f>
        <v>207.08</v>
      </c>
    </row>
    <row r="22" spans="1:16" ht="14.25" customHeight="1">
      <c r="A22" s="3" t="s">
        <v>292</v>
      </c>
      <c r="B22" s="1"/>
      <c r="C22" s="1">
        <v>828.32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f>SUM(C22:O22)</f>
        <v>828.32</v>
      </c>
    </row>
    <row r="23" spans="1:16" ht="14.25" customHeight="1">
      <c r="A23" s="3" t="s">
        <v>504</v>
      </c>
      <c r="B23" s="1"/>
      <c r="C23" s="1"/>
      <c r="D23" s="1"/>
      <c r="E23" s="1"/>
      <c r="F23" s="1"/>
      <c r="G23" s="1">
        <v>14389</v>
      </c>
      <c r="H23" s="1"/>
      <c r="I23" s="1"/>
      <c r="J23" s="1"/>
      <c r="K23" s="1"/>
      <c r="L23" s="1"/>
      <c r="M23" s="1"/>
      <c r="N23" s="1"/>
      <c r="O23" s="1"/>
      <c r="P23" s="1">
        <f>SUM(C23:O23)</f>
        <v>14389</v>
      </c>
    </row>
    <row r="24" spans="1:16" ht="24" customHeight="1">
      <c r="A24" s="3" t="s">
        <v>533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f>SUM(B24:O24)</f>
        <v>0</v>
      </c>
    </row>
    <row r="25" spans="1:16" ht="12.75" customHeight="1">
      <c r="A25" s="3" t="s">
        <v>226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>
        <v>0</v>
      </c>
    </row>
    <row r="26" spans="1:16" ht="22.5" customHeight="1">
      <c r="A26" s="3" t="s">
        <v>534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>
        <v>0</v>
      </c>
    </row>
    <row r="27" spans="1:16" ht="24.75" customHeight="1">
      <c r="A27" s="3" t="s">
        <v>293</v>
      </c>
      <c r="B27" s="1"/>
      <c r="C27" s="1">
        <v>207.08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>
        <f>SUM(C27:O27)</f>
        <v>207.08</v>
      </c>
    </row>
    <row r="28" spans="1:16" ht="24.75" customHeight="1">
      <c r="A28" s="3" t="s">
        <v>656</v>
      </c>
      <c r="B28" s="1"/>
      <c r="C28" s="1"/>
      <c r="D28" s="1"/>
      <c r="E28" s="1"/>
      <c r="F28" s="1"/>
      <c r="G28" s="1">
        <v>1655.28</v>
      </c>
      <c r="H28" s="1"/>
      <c r="I28" s="1"/>
      <c r="J28" s="1"/>
      <c r="K28" s="1"/>
      <c r="L28" s="1"/>
      <c r="M28" s="1"/>
      <c r="N28" s="1"/>
      <c r="O28" s="1"/>
      <c r="P28" s="1">
        <f>SUM(C28:O28)</f>
        <v>1655.28</v>
      </c>
    </row>
    <row r="29" spans="1:16" ht="24.75" customHeight="1">
      <c r="A29" s="3" t="s">
        <v>706</v>
      </c>
      <c r="B29" s="1"/>
      <c r="C29" s="1"/>
      <c r="D29" s="1"/>
      <c r="E29" s="1"/>
      <c r="F29" s="1">
        <v>1656.64</v>
      </c>
      <c r="G29" s="1"/>
      <c r="H29" s="1"/>
      <c r="I29" s="1"/>
      <c r="J29" s="1"/>
      <c r="K29" s="1"/>
      <c r="L29" s="1"/>
      <c r="M29" s="1"/>
      <c r="N29" s="1"/>
      <c r="O29" s="1"/>
      <c r="P29" s="1">
        <f>SUM(C29:O29)</f>
        <v>1656.64</v>
      </c>
    </row>
    <row r="30" spans="1:16" ht="24.75" customHeight="1">
      <c r="A30" s="3" t="s">
        <v>294</v>
      </c>
      <c r="B30" s="1"/>
      <c r="C30" s="1">
        <v>424.16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>
        <v>424.16</v>
      </c>
    </row>
    <row r="31" spans="1:16" ht="12.75">
      <c r="A31" s="3" t="s">
        <v>298</v>
      </c>
      <c r="B31" s="1"/>
      <c r="C31" s="1"/>
      <c r="D31" s="1">
        <v>22231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>
        <f aca="true" t="shared" si="1" ref="P31:P37">SUM(C31:O31)</f>
        <v>22231</v>
      </c>
    </row>
    <row r="32" spans="1:16" ht="12.75">
      <c r="A32" s="3" t="s">
        <v>700</v>
      </c>
      <c r="B32" s="1"/>
      <c r="C32" s="1"/>
      <c r="D32" s="1"/>
      <c r="E32" s="1"/>
      <c r="F32" s="1">
        <v>207.08</v>
      </c>
      <c r="G32" s="1"/>
      <c r="H32" s="1"/>
      <c r="I32" s="1"/>
      <c r="J32" s="1"/>
      <c r="K32" s="1"/>
      <c r="L32" s="1"/>
      <c r="M32" s="1"/>
      <c r="N32" s="1"/>
      <c r="O32" s="1"/>
      <c r="P32" s="1">
        <f t="shared" si="1"/>
        <v>207.08</v>
      </c>
    </row>
    <row r="33" spans="1:16" ht="12.75">
      <c r="A33" s="3" t="s">
        <v>662</v>
      </c>
      <c r="B33" s="1"/>
      <c r="C33" s="1"/>
      <c r="D33" s="1"/>
      <c r="E33" s="1"/>
      <c r="F33" s="1">
        <v>750</v>
      </c>
      <c r="G33" s="1"/>
      <c r="H33" s="1"/>
      <c r="I33" s="1"/>
      <c r="J33" s="1"/>
      <c r="K33" s="1"/>
      <c r="L33" s="1"/>
      <c r="M33" s="1"/>
      <c r="N33" s="1"/>
      <c r="O33" s="1"/>
      <c r="P33" s="1">
        <f t="shared" si="1"/>
        <v>750</v>
      </c>
    </row>
    <row r="34" spans="1:16" ht="22.5">
      <c r="A34" s="3" t="s">
        <v>728</v>
      </c>
      <c r="B34" s="1"/>
      <c r="C34" s="1"/>
      <c r="D34" s="1"/>
      <c r="E34" s="1"/>
      <c r="F34" s="1">
        <v>828.32</v>
      </c>
      <c r="G34" s="1"/>
      <c r="H34" s="1"/>
      <c r="I34" s="1"/>
      <c r="J34" s="1"/>
      <c r="K34" s="1"/>
      <c r="L34" s="1"/>
      <c r="M34" s="1"/>
      <c r="N34" s="1"/>
      <c r="O34" s="1"/>
      <c r="P34" s="1">
        <f t="shared" si="1"/>
        <v>828.32</v>
      </c>
    </row>
    <row r="35" spans="1:16" ht="22.5">
      <c r="A35" s="3" t="s">
        <v>752</v>
      </c>
      <c r="B35" s="1"/>
      <c r="C35" s="1"/>
      <c r="D35" s="1"/>
      <c r="E35" s="1"/>
      <c r="F35" s="1"/>
      <c r="G35" s="1"/>
      <c r="H35" s="1">
        <v>828.32</v>
      </c>
      <c r="I35" s="1"/>
      <c r="J35" s="1"/>
      <c r="K35" s="1"/>
      <c r="L35" s="1"/>
      <c r="M35" s="1"/>
      <c r="N35" s="1"/>
      <c r="O35" s="1"/>
      <c r="P35" s="1">
        <f t="shared" si="1"/>
        <v>828.32</v>
      </c>
    </row>
    <row r="36" spans="1:16" ht="12.75">
      <c r="A36" s="3" t="s">
        <v>774</v>
      </c>
      <c r="B36" s="1"/>
      <c r="C36" s="1"/>
      <c r="D36" s="1"/>
      <c r="E36" s="1"/>
      <c r="F36" s="1"/>
      <c r="G36" s="1"/>
      <c r="H36" s="1">
        <v>2749.64</v>
      </c>
      <c r="I36" s="1"/>
      <c r="J36" s="1"/>
      <c r="K36" s="1"/>
      <c r="L36" s="1"/>
      <c r="M36" s="1"/>
      <c r="N36" s="1"/>
      <c r="O36" s="1"/>
      <c r="P36" s="1">
        <v>2749.64</v>
      </c>
    </row>
    <row r="37" spans="1:16" ht="22.5" customHeight="1">
      <c r="A37" s="3" t="s">
        <v>390</v>
      </c>
      <c r="B37" s="1"/>
      <c r="C37" s="1"/>
      <c r="D37" s="1"/>
      <c r="E37" s="1"/>
      <c r="F37" s="1">
        <v>39007</v>
      </c>
      <c r="G37" s="1"/>
      <c r="H37" s="1"/>
      <c r="I37" s="1"/>
      <c r="J37" s="1"/>
      <c r="K37" s="1"/>
      <c r="L37" s="1"/>
      <c r="M37" s="1"/>
      <c r="N37" s="1"/>
      <c r="O37" s="1"/>
      <c r="P37" s="1">
        <f t="shared" si="1"/>
        <v>39007</v>
      </c>
    </row>
    <row r="38" spans="1:16" ht="22.5" customHeight="1">
      <c r="A38" s="3" t="s">
        <v>40</v>
      </c>
      <c r="B38" s="1"/>
      <c r="C38" s="1"/>
      <c r="D38" s="1"/>
      <c r="E38" s="1"/>
      <c r="F38" s="1"/>
      <c r="G38" s="1"/>
      <c r="H38" s="1"/>
      <c r="I38" s="1"/>
      <c r="J38" s="1">
        <v>828.32</v>
      </c>
      <c r="K38" s="1"/>
      <c r="L38" s="1"/>
      <c r="M38" s="1"/>
      <c r="N38" s="1"/>
      <c r="O38" s="1"/>
      <c r="P38" s="1">
        <v>828.32</v>
      </c>
    </row>
    <row r="39" spans="1:16" ht="12.75">
      <c r="A39" s="3" t="s">
        <v>793</v>
      </c>
      <c r="B39" s="1"/>
      <c r="C39" s="1"/>
      <c r="D39" s="1"/>
      <c r="E39" s="1"/>
      <c r="F39" s="1"/>
      <c r="G39" s="1"/>
      <c r="H39" s="1">
        <v>3000</v>
      </c>
      <c r="I39" s="1"/>
      <c r="J39" s="1"/>
      <c r="K39" s="1"/>
      <c r="L39" s="1"/>
      <c r="M39" s="1"/>
      <c r="N39" s="1"/>
      <c r="O39" s="1"/>
      <c r="P39" s="1">
        <v>3000</v>
      </c>
    </row>
    <row r="40" spans="1:16" ht="22.5">
      <c r="A40" s="3" t="s">
        <v>637</v>
      </c>
      <c r="B40" s="1"/>
      <c r="C40" s="1"/>
      <c r="D40" s="1"/>
      <c r="E40" s="1"/>
      <c r="F40" s="1"/>
      <c r="G40" s="1">
        <v>621.24</v>
      </c>
      <c r="H40" s="1"/>
      <c r="I40" s="1"/>
      <c r="J40" s="1"/>
      <c r="K40" s="1"/>
      <c r="L40" s="1"/>
      <c r="M40" s="1"/>
      <c r="N40" s="1"/>
      <c r="O40" s="1"/>
      <c r="P40" s="1">
        <f>SUM(D40:O40)</f>
        <v>621.24</v>
      </c>
    </row>
    <row r="41" spans="1:16" ht="12.75">
      <c r="A41" s="3" t="s">
        <v>238</v>
      </c>
      <c r="B41" s="1"/>
      <c r="C41" s="1">
        <f>SUM(C4:C40)</f>
        <v>19358.137000000002</v>
      </c>
      <c r="D41" s="1">
        <f>SUM(D4:D37)</f>
        <v>46715.577000000005</v>
      </c>
      <c r="E41" s="1">
        <f>SUM(E4:E37)</f>
        <v>23074.487</v>
      </c>
      <c r="F41" s="1">
        <f>SUM(F4:F40)</f>
        <v>61175.937000000005</v>
      </c>
      <c r="G41" s="1">
        <f>SUM(G4:G37)</f>
        <v>33442.847</v>
      </c>
      <c r="H41" s="1">
        <f>SUM(H4:H37)</f>
        <v>20948.2</v>
      </c>
      <c r="I41" s="1">
        <f>SUM(I4:I40)</f>
        <v>17598.97</v>
      </c>
      <c r="J41" s="1">
        <f>SUM(J4:J40)</f>
        <v>18427.29</v>
      </c>
      <c r="K41" s="1">
        <f>SUM(K4:K40)</f>
        <v>0</v>
      </c>
      <c r="L41" s="1">
        <f>SUM(L4:L37)</f>
        <v>0</v>
      </c>
      <c r="M41" s="1">
        <f>SUM(M4:M37)</f>
        <v>0</v>
      </c>
      <c r="N41" s="1">
        <f>SUM(N4:N37)</f>
        <v>0</v>
      </c>
      <c r="O41" s="1">
        <f>SUM(O4:O37)</f>
        <v>0</v>
      </c>
      <c r="P41" s="1">
        <f>SUM(P4:P40)</f>
        <v>244362.68500000003</v>
      </c>
    </row>
    <row r="42" spans="1:16" ht="12.75">
      <c r="A42" s="3" t="s">
        <v>295</v>
      </c>
      <c r="B42" s="1"/>
      <c r="C42" s="1">
        <v>19505.02</v>
      </c>
      <c r="D42" s="1">
        <v>19475.12</v>
      </c>
      <c r="E42" s="1">
        <v>31323.47</v>
      </c>
      <c r="F42" s="1">
        <v>24712.33</v>
      </c>
      <c r="G42" s="1">
        <v>29487.44</v>
      </c>
      <c r="H42" s="1">
        <v>20750.93</v>
      </c>
      <c r="I42" s="1">
        <v>34926.37</v>
      </c>
      <c r="J42" s="1">
        <v>23475.14</v>
      </c>
      <c r="K42" s="1"/>
      <c r="L42" s="1"/>
      <c r="M42" s="1"/>
      <c r="N42" s="1"/>
      <c r="O42" s="1"/>
      <c r="P42" s="1">
        <f>SUM(C42:O42)</f>
        <v>203655.82</v>
      </c>
    </row>
    <row r="43" spans="1:16" ht="12.75">
      <c r="A43" s="3" t="s">
        <v>296</v>
      </c>
      <c r="B43" s="1"/>
      <c r="C43" s="1"/>
      <c r="D43" s="1"/>
      <c r="E43" s="1"/>
      <c r="F43" s="1">
        <f>16381.25+1858.08+8810.22+8946.81</f>
        <v>35996.36</v>
      </c>
      <c r="G43" s="1">
        <v>5460.42</v>
      </c>
      <c r="H43" s="1">
        <v>5460.42</v>
      </c>
      <c r="J43" s="1">
        <f>2469.6+1900.22+10920.84+1227.94</f>
        <v>16518.6</v>
      </c>
      <c r="L43" s="1"/>
      <c r="M43" s="1"/>
      <c r="N43" s="1"/>
      <c r="O43" s="1"/>
      <c r="P43" s="1">
        <f>SUM(C43:O43)</f>
        <v>63435.799999999996</v>
      </c>
    </row>
    <row r="44" spans="1:16" s="12" customFormat="1" ht="12.75">
      <c r="A44" s="1" t="s">
        <v>685</v>
      </c>
      <c r="B44" s="2"/>
      <c r="C44" s="2"/>
      <c r="D44" s="2"/>
      <c r="E44" s="2"/>
      <c r="F44" s="2">
        <v>378</v>
      </c>
      <c r="G44" s="2"/>
      <c r="H44" s="2">
        <v>400</v>
      </c>
      <c r="I44" s="2"/>
      <c r="J44" s="2">
        <v>140</v>
      </c>
      <c r="K44" s="2"/>
      <c r="L44" s="2"/>
      <c r="M44" s="2"/>
      <c r="N44" s="2"/>
      <c r="O44" s="2"/>
      <c r="P44" s="2">
        <f>SUM(C44:O44)</f>
        <v>918</v>
      </c>
    </row>
    <row r="45" spans="1:16" s="12" customFormat="1" ht="12.75">
      <c r="A45" s="1" t="s">
        <v>686</v>
      </c>
      <c r="B45" s="2"/>
      <c r="C45" s="2"/>
      <c r="D45" s="2"/>
      <c r="E45" s="2"/>
      <c r="F45" s="2">
        <v>3675</v>
      </c>
      <c r="G45" s="2">
        <v>1513.5</v>
      </c>
      <c r="H45" s="2">
        <v>600</v>
      </c>
      <c r="I45" s="2"/>
      <c r="J45" s="2">
        <v>240</v>
      </c>
      <c r="K45" s="2"/>
      <c r="L45" s="2"/>
      <c r="M45" s="2"/>
      <c r="N45" s="2"/>
      <c r="O45" s="2"/>
      <c r="P45" s="2">
        <f>SUM(C45:O45)</f>
        <v>6028.5</v>
      </c>
    </row>
    <row r="46" spans="1:16" ht="12.75">
      <c r="A46" s="1" t="s">
        <v>420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">
        <f>P42+P43+P44+P45-P41+P1</f>
        <v>19787.174999999967</v>
      </c>
    </row>
    <row r="47" spans="1:6" ht="12.75">
      <c r="A47" s="1"/>
      <c r="B47" s="62" t="s">
        <v>476</v>
      </c>
      <c r="C47" s="63"/>
      <c r="D47" s="63"/>
      <c r="E47" s="63"/>
      <c r="F47" s="64"/>
    </row>
    <row r="48" spans="1:7" ht="12.75">
      <c r="A48" s="1"/>
      <c r="G48" s="14" t="s">
        <v>428</v>
      </c>
    </row>
    <row r="49" ht="12.75">
      <c r="A49" s="1"/>
    </row>
  </sheetData>
  <sheetProtection/>
  <mergeCells count="1">
    <mergeCell ref="B47:F47"/>
  </mergeCells>
  <printOptions/>
  <pageMargins left="0.31496062992125984" right="0.11811023622047245" top="0.7480314960629921" bottom="0.1968503937007874" header="0.31496062992125984" footer="0.11811023622047245"/>
  <pageSetup horizontalDpi="600" verticalDpi="600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view="pageBreakPreview" zoomScale="60" zoomScaleNormal="80" zoomScalePageLayoutView="0" workbookViewId="0" topLeftCell="A1">
      <pane xSplit="4" ySplit="14" topLeftCell="E18" activePane="bottomRight" state="frozen"/>
      <selection pane="topLeft" activeCell="A1" sqref="A1"/>
      <selection pane="topRight" activeCell="E1" sqref="E1"/>
      <selection pane="bottomLeft" activeCell="A17" sqref="A17"/>
      <selection pane="bottomRight" activeCell="H22" sqref="H22"/>
    </sheetView>
  </sheetViews>
  <sheetFormatPr defaultColWidth="13.00390625" defaultRowHeight="12.75"/>
  <cols>
    <col min="1" max="1" width="47.375" style="14" customWidth="1"/>
    <col min="2" max="7" width="13.00390625" style="14" customWidth="1"/>
    <col min="8" max="8" width="17.625" style="14" customWidth="1"/>
    <col min="9" max="9" width="13.00390625" style="14" customWidth="1"/>
    <col min="10" max="10" width="15.375" style="14" customWidth="1"/>
    <col min="11" max="11" width="14.875" style="14" customWidth="1"/>
    <col min="12" max="13" width="13.00390625" style="14" customWidth="1"/>
    <col min="14" max="14" width="14.75390625" style="14" customWidth="1"/>
    <col min="15" max="15" width="15.00390625" style="14" customWidth="1"/>
    <col min="16" max="16384" width="13.00390625" style="14" customWidth="1"/>
  </cols>
  <sheetData>
    <row r="1" spans="1:15" s="12" customFormat="1" ht="15.75">
      <c r="A1" s="6" t="s">
        <v>422</v>
      </c>
      <c r="B1" s="6">
        <v>3575.84</v>
      </c>
      <c r="C1" s="6"/>
      <c r="D1" s="6"/>
      <c r="E1" s="6"/>
      <c r="F1" s="6"/>
      <c r="G1" s="6"/>
      <c r="H1" s="6"/>
      <c r="I1" s="6"/>
      <c r="J1" s="6"/>
      <c r="K1" s="6" t="s">
        <v>442</v>
      </c>
      <c r="L1" s="6" t="s">
        <v>601</v>
      </c>
      <c r="M1" s="6"/>
      <c r="N1" s="6"/>
      <c r="O1" s="6">
        <v>-43615.57</v>
      </c>
    </row>
    <row r="2" spans="1:15" ht="15">
      <c r="A2" s="5" t="s">
        <v>421</v>
      </c>
      <c r="B2" s="5">
        <f>PRODUCT(B1,11.2)</f>
        <v>40049.407999999996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2" customFormat="1" ht="15.75">
      <c r="A3" s="6" t="s">
        <v>409</v>
      </c>
      <c r="B3" s="6" t="s">
        <v>410</v>
      </c>
      <c r="C3" s="6" t="s">
        <v>434</v>
      </c>
      <c r="D3" s="6" t="s">
        <v>438</v>
      </c>
      <c r="E3" s="6" t="s">
        <v>437</v>
      </c>
      <c r="F3" s="6" t="s">
        <v>436</v>
      </c>
      <c r="G3" s="6" t="s">
        <v>413</v>
      </c>
      <c r="H3" s="6" t="s">
        <v>414</v>
      </c>
      <c r="I3" s="6" t="s">
        <v>416</v>
      </c>
      <c r="J3" s="6" t="s">
        <v>417</v>
      </c>
      <c r="K3" s="6" t="s">
        <v>423</v>
      </c>
      <c r="L3" s="6" t="s">
        <v>424</v>
      </c>
      <c r="M3" s="6" t="s">
        <v>425</v>
      </c>
      <c r="N3" s="6" t="s">
        <v>426</v>
      </c>
      <c r="O3" s="6" t="s">
        <v>427</v>
      </c>
    </row>
    <row r="4" spans="1:15" ht="15">
      <c r="A4" s="5" t="s">
        <v>411</v>
      </c>
      <c r="B4" s="5">
        <v>1.57</v>
      </c>
      <c r="C4" s="5">
        <f>B4*B1</f>
        <v>5614.0688</v>
      </c>
      <c r="D4" s="5">
        <f>B4*B1</f>
        <v>5614.0688</v>
      </c>
      <c r="E4" s="5">
        <f>B4*B1</f>
        <v>5614.0688</v>
      </c>
      <c r="F4" s="5">
        <f>B4*B1</f>
        <v>5614.0688</v>
      </c>
      <c r="G4" s="5">
        <f>B1*B4</f>
        <v>5614.0688</v>
      </c>
      <c r="H4" s="5">
        <v>5614.07</v>
      </c>
      <c r="I4" s="5">
        <v>5614.07</v>
      </c>
      <c r="J4" s="5">
        <v>5614.07</v>
      </c>
      <c r="K4" s="5"/>
      <c r="L4" s="5"/>
      <c r="M4" s="5"/>
      <c r="N4" s="5"/>
      <c r="O4" s="5">
        <f aca="true" t="shared" si="0" ref="O4:O12">SUM(C4:N4)</f>
        <v>44912.554000000004</v>
      </c>
    </row>
    <row r="5" spans="1:15" ht="15">
      <c r="A5" s="5" t="s">
        <v>451</v>
      </c>
      <c r="B5" s="5">
        <v>1.6</v>
      </c>
      <c r="C5" s="5">
        <f>B5*B1</f>
        <v>5721.344000000001</v>
      </c>
      <c r="D5" s="5">
        <f>B5*B1</f>
        <v>5721.344000000001</v>
      </c>
      <c r="E5" s="5">
        <f>B5*B1</f>
        <v>5721.344000000001</v>
      </c>
      <c r="F5" s="5">
        <f>B5*B1</f>
        <v>5721.344000000001</v>
      </c>
      <c r="G5" s="5">
        <f>B5*B1</f>
        <v>5721.344000000001</v>
      </c>
      <c r="H5" s="5">
        <v>5721.34</v>
      </c>
      <c r="I5" s="5">
        <v>5721.34</v>
      </c>
      <c r="J5" s="5">
        <v>5721.34</v>
      </c>
      <c r="K5" s="5"/>
      <c r="L5" s="5"/>
      <c r="M5" s="5"/>
      <c r="N5" s="5"/>
      <c r="O5" s="5">
        <f t="shared" si="0"/>
        <v>45770.740000000005</v>
      </c>
    </row>
    <row r="6" spans="1:15" ht="15">
      <c r="A6" s="5" t="s">
        <v>412</v>
      </c>
      <c r="B6" s="5">
        <v>1.6</v>
      </c>
      <c r="C6" s="5">
        <f>B6*B1</f>
        <v>5721.344000000001</v>
      </c>
      <c r="D6" s="5">
        <f>B6*B1</f>
        <v>5721.344000000001</v>
      </c>
      <c r="E6" s="5">
        <f>B6*B1</f>
        <v>5721.344000000001</v>
      </c>
      <c r="F6" s="5">
        <f>B6*B1</f>
        <v>5721.344000000001</v>
      </c>
      <c r="G6" s="5">
        <f>B6*B1</f>
        <v>5721.344000000001</v>
      </c>
      <c r="H6" s="5">
        <v>5721.34</v>
      </c>
      <c r="I6" s="5">
        <v>5721.34</v>
      </c>
      <c r="J6" s="5">
        <v>5721.34</v>
      </c>
      <c r="K6" s="5"/>
      <c r="L6" s="5"/>
      <c r="M6" s="5"/>
      <c r="N6" s="5"/>
      <c r="O6" s="5">
        <f t="shared" si="0"/>
        <v>45770.740000000005</v>
      </c>
    </row>
    <row r="7" spans="1:15" ht="15">
      <c r="A7" s="5" t="s">
        <v>491</v>
      </c>
      <c r="B7" s="5">
        <v>0.44</v>
      </c>
      <c r="C7" s="5">
        <f>B7*B1</f>
        <v>1573.3696</v>
      </c>
      <c r="D7" s="5">
        <f>B7*B1</f>
        <v>1573.3696</v>
      </c>
      <c r="E7" s="5">
        <f>B7*B1</f>
        <v>1573.3696</v>
      </c>
      <c r="F7" s="5">
        <f>B7*B1</f>
        <v>1573.3696</v>
      </c>
      <c r="G7" s="5">
        <f>B7*B1</f>
        <v>1573.3696</v>
      </c>
      <c r="H7" s="5">
        <v>1573.37</v>
      </c>
      <c r="I7" s="5">
        <v>1573.37</v>
      </c>
      <c r="J7" s="5">
        <v>1573.37</v>
      </c>
      <c r="K7" s="5"/>
      <c r="L7" s="5"/>
      <c r="M7" s="5"/>
      <c r="N7" s="5"/>
      <c r="O7" s="5">
        <f t="shared" si="0"/>
        <v>12586.957999999999</v>
      </c>
    </row>
    <row r="8" spans="1:15" ht="15">
      <c r="A8" s="5" t="s">
        <v>435</v>
      </c>
      <c r="B8" s="5">
        <v>0.66</v>
      </c>
      <c r="C8" s="5">
        <f>B8*B1</f>
        <v>2360.0544</v>
      </c>
      <c r="D8" s="5">
        <f>B8*B1</f>
        <v>2360.0544</v>
      </c>
      <c r="E8" s="5">
        <f>B8*B1</f>
        <v>2360.0544</v>
      </c>
      <c r="F8" s="5">
        <f>B8*B1</f>
        <v>2360.0544</v>
      </c>
      <c r="G8" s="5">
        <f>B8*B1</f>
        <v>2360.0544</v>
      </c>
      <c r="H8" s="5">
        <v>2360.05</v>
      </c>
      <c r="I8" s="5">
        <v>2360.05</v>
      </c>
      <c r="J8" s="5">
        <v>2360.05</v>
      </c>
      <c r="K8" s="5"/>
      <c r="L8" s="5"/>
      <c r="M8" s="5"/>
      <c r="N8" s="5"/>
      <c r="O8" s="5">
        <f t="shared" si="0"/>
        <v>18880.422</v>
      </c>
    </row>
    <row r="9" spans="1:15" ht="15.75" customHeight="1">
      <c r="A9" s="19" t="s">
        <v>429</v>
      </c>
      <c r="B9" s="5"/>
      <c r="C9" s="5">
        <v>164.49</v>
      </c>
      <c r="D9" s="5">
        <v>164.49</v>
      </c>
      <c r="E9" s="5">
        <v>164.49</v>
      </c>
      <c r="F9" s="5">
        <v>164.49</v>
      </c>
      <c r="G9" s="5">
        <v>164.49</v>
      </c>
      <c r="H9" s="5">
        <v>114.43</v>
      </c>
      <c r="I9" s="5">
        <v>518.5</v>
      </c>
      <c r="J9" s="5">
        <v>518.5</v>
      </c>
      <c r="K9" s="5"/>
      <c r="L9" s="5"/>
      <c r="M9" s="5"/>
      <c r="N9" s="5"/>
      <c r="O9" s="5">
        <f t="shared" si="0"/>
        <v>1973.88</v>
      </c>
    </row>
    <row r="10" spans="1:15" ht="18.75" customHeight="1">
      <c r="A10" s="19" t="s">
        <v>478</v>
      </c>
      <c r="B10" s="5"/>
      <c r="C10" s="5">
        <v>4069</v>
      </c>
      <c r="D10" s="5">
        <v>4069</v>
      </c>
      <c r="E10" s="5">
        <v>4069</v>
      </c>
      <c r="F10" s="5">
        <v>4069</v>
      </c>
      <c r="G10" s="5">
        <v>4069</v>
      </c>
      <c r="H10" s="5">
        <v>4069</v>
      </c>
      <c r="I10" s="5">
        <v>4069</v>
      </c>
      <c r="J10" s="5">
        <v>4069</v>
      </c>
      <c r="K10" s="5"/>
      <c r="L10" s="5"/>
      <c r="M10" s="5"/>
      <c r="N10" s="5"/>
      <c r="O10" s="5">
        <f t="shared" si="0"/>
        <v>32552</v>
      </c>
    </row>
    <row r="11" spans="1:15" ht="33.75" customHeight="1">
      <c r="A11" s="19" t="s">
        <v>253</v>
      </c>
      <c r="B11" s="5"/>
      <c r="C11" s="5">
        <v>6781</v>
      </c>
      <c r="D11" s="5">
        <v>6781</v>
      </c>
      <c r="E11" s="5">
        <v>6781</v>
      </c>
      <c r="F11" s="5">
        <v>6781</v>
      </c>
      <c r="G11" s="5">
        <v>6781</v>
      </c>
      <c r="H11" s="5">
        <v>6781</v>
      </c>
      <c r="I11" s="5">
        <v>6781</v>
      </c>
      <c r="J11" s="5">
        <v>6781</v>
      </c>
      <c r="K11" s="5"/>
      <c r="L11" s="5"/>
      <c r="M11" s="5"/>
      <c r="N11" s="5"/>
      <c r="O11" s="5">
        <f t="shared" si="0"/>
        <v>54248</v>
      </c>
    </row>
    <row r="12" spans="1:15" ht="18.75" customHeight="1">
      <c r="A12" s="19" t="s">
        <v>278</v>
      </c>
      <c r="B12" s="5"/>
      <c r="C12" s="5">
        <v>500</v>
      </c>
      <c r="D12" s="5">
        <v>500</v>
      </c>
      <c r="E12" s="5">
        <v>500</v>
      </c>
      <c r="F12" s="5">
        <v>500</v>
      </c>
      <c r="G12" s="5">
        <v>500</v>
      </c>
      <c r="H12" s="5">
        <v>500</v>
      </c>
      <c r="I12" s="5">
        <v>500</v>
      </c>
      <c r="J12" s="5">
        <v>500</v>
      </c>
      <c r="K12" s="5"/>
      <c r="L12" s="5"/>
      <c r="M12" s="5"/>
      <c r="N12" s="5"/>
      <c r="O12" s="5">
        <f t="shared" si="0"/>
        <v>4000</v>
      </c>
    </row>
    <row r="13" spans="1:15" ht="30" customHeight="1">
      <c r="A13" s="19" t="s">
        <v>498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aca="true" t="shared" si="1" ref="O13:O50">SUM(C13:N13)</f>
        <v>0</v>
      </c>
    </row>
    <row r="14" spans="1:15" ht="23.25" customHeight="1">
      <c r="A14" s="19" t="s">
        <v>506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 t="shared" si="1"/>
        <v>0</v>
      </c>
    </row>
    <row r="15" spans="1:15" ht="25.5" customHeight="1">
      <c r="A15" s="19" t="s">
        <v>490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1"/>
        <v>0</v>
      </c>
    </row>
    <row r="16" spans="1:15" ht="35.25" customHeight="1">
      <c r="A16" s="19" t="s">
        <v>499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1"/>
        <v>0</v>
      </c>
    </row>
    <row r="17" spans="1:15" ht="32.25" customHeight="1">
      <c r="A17" s="19" t="s">
        <v>226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1"/>
        <v>0</v>
      </c>
    </row>
    <row r="18" spans="1:15" ht="18.75" customHeight="1">
      <c r="A18" s="19" t="s">
        <v>542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f t="shared" si="1"/>
        <v>0</v>
      </c>
    </row>
    <row r="19" spans="1:15" ht="31.5" customHeight="1">
      <c r="A19" s="19" t="s">
        <v>543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1"/>
        <v>0</v>
      </c>
    </row>
    <row r="20" spans="1:15" ht="31.5" customHeight="1">
      <c r="A20" s="19" t="s">
        <v>300</v>
      </c>
      <c r="B20" s="5"/>
      <c r="C20" s="5"/>
      <c r="D20" s="5"/>
      <c r="E20" s="5"/>
      <c r="F20" s="5">
        <v>114</v>
      </c>
      <c r="G20" s="5"/>
      <c r="H20" s="5"/>
      <c r="I20" s="5"/>
      <c r="J20" s="5"/>
      <c r="K20" s="5"/>
      <c r="L20" s="5"/>
      <c r="M20" s="5"/>
      <c r="N20" s="5"/>
      <c r="O20" s="5">
        <f t="shared" si="1"/>
        <v>114</v>
      </c>
    </row>
    <row r="21" spans="1:15" ht="31.5" customHeight="1">
      <c r="A21" s="19" t="s">
        <v>354</v>
      </c>
      <c r="B21" s="5"/>
      <c r="C21" s="5"/>
      <c r="D21" s="5"/>
      <c r="E21" s="5">
        <v>320</v>
      </c>
      <c r="F21" s="5"/>
      <c r="G21" s="5"/>
      <c r="H21" s="5"/>
      <c r="I21" s="5"/>
      <c r="J21" s="5"/>
      <c r="K21" s="5"/>
      <c r="L21" s="5"/>
      <c r="M21" s="5"/>
      <c r="N21" s="5"/>
      <c r="O21" s="5">
        <f t="shared" si="1"/>
        <v>320</v>
      </c>
    </row>
    <row r="22" spans="1:15" ht="31.5" customHeight="1">
      <c r="A22" s="19" t="s">
        <v>770</v>
      </c>
      <c r="B22" s="5"/>
      <c r="C22" s="5"/>
      <c r="D22" s="5"/>
      <c r="E22" s="5"/>
      <c r="F22" s="5"/>
      <c r="G22" s="5"/>
      <c r="H22" s="5">
        <v>1800.32</v>
      </c>
      <c r="I22" s="5"/>
      <c r="J22" s="5"/>
      <c r="K22" s="5"/>
      <c r="L22" s="5"/>
      <c r="M22" s="5"/>
      <c r="N22" s="5"/>
      <c r="O22" s="5">
        <v>1800.32</v>
      </c>
    </row>
    <row r="23" spans="1:15" ht="74.25" customHeight="1">
      <c r="A23" s="19" t="s">
        <v>355</v>
      </c>
      <c r="B23" s="5"/>
      <c r="C23" s="5"/>
      <c r="D23" s="5"/>
      <c r="E23" s="5">
        <v>4133.56</v>
      </c>
      <c r="F23" s="5"/>
      <c r="G23" s="5"/>
      <c r="H23" s="5"/>
      <c r="I23" s="5"/>
      <c r="J23" s="5"/>
      <c r="K23" s="5"/>
      <c r="L23" s="5"/>
      <c r="M23" s="5"/>
      <c r="N23" s="5"/>
      <c r="O23" s="5">
        <f t="shared" si="1"/>
        <v>4133.56</v>
      </c>
    </row>
    <row r="24" spans="1:15" ht="30" customHeight="1">
      <c r="A24" s="19" t="s">
        <v>522</v>
      </c>
      <c r="B24" s="5"/>
      <c r="C24" s="5"/>
      <c r="D24" s="5"/>
      <c r="E24" s="5"/>
      <c r="F24" s="5"/>
      <c r="G24" s="5"/>
      <c r="H24" s="5">
        <v>18381</v>
      </c>
      <c r="I24" s="5"/>
      <c r="J24" s="5"/>
      <c r="K24" s="5"/>
      <c r="L24" s="5"/>
      <c r="M24" s="5"/>
      <c r="N24" s="5"/>
      <c r="O24" s="5">
        <f t="shared" si="1"/>
        <v>18381</v>
      </c>
    </row>
    <row r="25" spans="1:15" ht="18.75" customHeight="1">
      <c r="A25" s="19" t="s">
        <v>509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1"/>
        <v>0</v>
      </c>
    </row>
    <row r="26" spans="1:15" ht="22.5" customHeight="1">
      <c r="A26" s="19" t="s">
        <v>510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f t="shared" si="1"/>
        <v>0</v>
      </c>
    </row>
    <row r="27" spans="1:15" ht="18" customHeight="1">
      <c r="A27" s="19" t="s">
        <v>511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f t="shared" si="1"/>
        <v>0</v>
      </c>
    </row>
    <row r="28" spans="1:15" ht="21.75" customHeight="1">
      <c r="A28" s="19" t="s">
        <v>356</v>
      </c>
      <c r="B28" s="5"/>
      <c r="C28" s="5"/>
      <c r="D28" s="5"/>
      <c r="E28" s="5">
        <v>3154.78</v>
      </c>
      <c r="F28" s="5"/>
      <c r="G28" s="5"/>
      <c r="H28" s="5"/>
      <c r="I28" s="5"/>
      <c r="J28" s="5"/>
      <c r="K28" s="5"/>
      <c r="L28" s="5"/>
      <c r="M28" s="5"/>
      <c r="N28" s="5"/>
      <c r="O28" s="5">
        <f t="shared" si="1"/>
        <v>3154.78</v>
      </c>
    </row>
    <row r="29" spans="1:15" ht="29.25" customHeight="1">
      <c r="A29" s="19" t="s">
        <v>726</v>
      </c>
      <c r="B29" s="5"/>
      <c r="C29" s="5"/>
      <c r="D29" s="5"/>
      <c r="E29" s="5"/>
      <c r="F29" s="5">
        <v>1405.32</v>
      </c>
      <c r="G29" s="5"/>
      <c r="H29" s="5"/>
      <c r="I29" s="5"/>
      <c r="J29" s="5"/>
      <c r="K29" s="5"/>
      <c r="L29" s="5"/>
      <c r="M29" s="5"/>
      <c r="N29" s="5"/>
      <c r="O29" s="5">
        <v>1405.32</v>
      </c>
    </row>
    <row r="30" spans="1:15" ht="18" customHeight="1">
      <c r="A30" s="19" t="s">
        <v>357</v>
      </c>
      <c r="B30" s="5"/>
      <c r="C30" s="5"/>
      <c r="D30" s="5">
        <v>1884.32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f t="shared" si="1"/>
        <v>1884.32</v>
      </c>
    </row>
    <row r="31" spans="1:15" ht="18" customHeight="1">
      <c r="A31" s="19" t="s">
        <v>730</v>
      </c>
      <c r="B31" s="5"/>
      <c r="C31" s="5"/>
      <c r="D31" s="5"/>
      <c r="E31" s="5"/>
      <c r="F31" s="5">
        <v>414.1</v>
      </c>
      <c r="G31" s="5"/>
      <c r="H31" s="5"/>
      <c r="I31" s="5"/>
      <c r="J31" s="5"/>
      <c r="K31" s="5"/>
      <c r="L31" s="5"/>
      <c r="M31" s="5"/>
      <c r="N31" s="5"/>
      <c r="O31" s="5">
        <v>414.1</v>
      </c>
    </row>
    <row r="32" spans="1:15" ht="29.25" customHeight="1">
      <c r="A32" s="19" t="s">
        <v>358</v>
      </c>
      <c r="B32" s="5"/>
      <c r="C32" s="5"/>
      <c r="D32" s="5">
        <v>2026.64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 t="shared" si="1"/>
        <v>2026.64</v>
      </c>
    </row>
    <row r="33" spans="1:15" ht="29.25" customHeight="1">
      <c r="A33" s="19" t="s">
        <v>702</v>
      </c>
      <c r="B33" s="5"/>
      <c r="C33" s="5"/>
      <c r="D33" s="5"/>
      <c r="E33" s="5"/>
      <c r="F33" s="5">
        <v>566.08</v>
      </c>
      <c r="G33" s="5"/>
      <c r="H33" s="5"/>
      <c r="I33" s="5"/>
      <c r="J33" s="5"/>
      <c r="K33" s="5"/>
      <c r="L33" s="5"/>
      <c r="M33" s="5"/>
      <c r="N33" s="5"/>
      <c r="O33" s="5">
        <v>566.08</v>
      </c>
    </row>
    <row r="34" spans="1:15" ht="20.25" customHeight="1">
      <c r="A34" s="19" t="s">
        <v>359</v>
      </c>
      <c r="B34" s="5"/>
      <c r="C34" s="5"/>
      <c r="D34" s="5">
        <v>1656.64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f t="shared" si="1"/>
        <v>1656.64</v>
      </c>
    </row>
    <row r="35" spans="1:15" ht="33.75" customHeight="1">
      <c r="A35" s="19" t="s">
        <v>360</v>
      </c>
      <c r="B35" s="5"/>
      <c r="C35" s="5"/>
      <c r="D35" s="5">
        <v>1820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f t="shared" si="1"/>
        <v>1820</v>
      </c>
    </row>
    <row r="36" spans="1:15" ht="33.75" customHeight="1">
      <c r="A36" s="19" t="s">
        <v>632</v>
      </c>
      <c r="B36" s="5"/>
      <c r="C36" s="5"/>
      <c r="D36" s="5"/>
      <c r="E36" s="5"/>
      <c r="F36" s="5">
        <v>207.08</v>
      </c>
      <c r="G36" s="5"/>
      <c r="H36" s="5"/>
      <c r="I36" s="5"/>
      <c r="J36" s="5"/>
      <c r="K36" s="5"/>
      <c r="L36" s="5"/>
      <c r="M36" s="5"/>
      <c r="N36" s="5"/>
      <c r="O36" s="5">
        <f>SUM(C36:N36)</f>
        <v>207.08</v>
      </c>
    </row>
    <row r="37" spans="1:15" ht="30" customHeight="1">
      <c r="A37" s="19" t="s">
        <v>361</v>
      </c>
      <c r="B37" s="5"/>
      <c r="C37" s="5"/>
      <c r="D37" s="5">
        <v>828.32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f t="shared" si="1"/>
        <v>828.32</v>
      </c>
    </row>
    <row r="38" spans="1:15" ht="24" customHeight="1">
      <c r="A38" s="19" t="s">
        <v>362</v>
      </c>
      <c r="B38" s="5"/>
      <c r="C38" s="5">
        <v>910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f t="shared" si="1"/>
        <v>910</v>
      </c>
    </row>
    <row r="39" spans="1:15" ht="29.25" customHeight="1">
      <c r="A39" s="19" t="s">
        <v>363</v>
      </c>
      <c r="B39" s="5"/>
      <c r="C39" s="5">
        <v>1515.12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f t="shared" si="1"/>
        <v>1515.12</v>
      </c>
    </row>
    <row r="40" spans="1:15" ht="33" customHeight="1">
      <c r="A40" s="19" t="s">
        <v>364</v>
      </c>
      <c r="B40" s="5"/>
      <c r="C40" s="5">
        <v>5233.28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f t="shared" si="1"/>
        <v>5233.28</v>
      </c>
    </row>
    <row r="41" spans="1:15" ht="33" customHeight="1">
      <c r="A41" s="19" t="s">
        <v>677</v>
      </c>
      <c r="B41" s="5"/>
      <c r="C41" s="5"/>
      <c r="D41" s="5"/>
      <c r="E41" s="5"/>
      <c r="F41" s="5"/>
      <c r="G41" s="5">
        <v>32491</v>
      </c>
      <c r="H41" s="5">
        <v>40332</v>
      </c>
      <c r="I41" s="5"/>
      <c r="J41" s="5"/>
      <c r="K41" s="5"/>
      <c r="L41" s="5"/>
      <c r="M41" s="5"/>
      <c r="N41" s="5"/>
      <c r="O41" s="5">
        <f t="shared" si="1"/>
        <v>72823</v>
      </c>
    </row>
    <row r="42" spans="1:15" ht="33" customHeight="1">
      <c r="A42" s="19" t="s">
        <v>17</v>
      </c>
      <c r="B42" s="5"/>
      <c r="C42" s="5"/>
      <c r="D42" s="5"/>
      <c r="E42" s="5"/>
      <c r="F42" s="5"/>
      <c r="G42" s="5"/>
      <c r="H42" s="5"/>
      <c r="I42" s="5"/>
      <c r="J42" s="5">
        <v>2162.46</v>
      </c>
      <c r="K42" s="5"/>
      <c r="L42" s="5"/>
      <c r="M42" s="5"/>
      <c r="N42" s="5"/>
      <c r="O42" s="5">
        <v>2162.46</v>
      </c>
    </row>
    <row r="43" spans="1:15" ht="42.75" customHeight="1">
      <c r="A43" s="19" t="s">
        <v>651</v>
      </c>
      <c r="B43" s="5"/>
      <c r="C43" s="5"/>
      <c r="D43" s="5"/>
      <c r="E43" s="5"/>
      <c r="F43" s="5"/>
      <c r="G43" s="5">
        <f>642.16+32000</f>
        <v>32642.16</v>
      </c>
      <c r="H43" s="5"/>
      <c r="I43" s="5"/>
      <c r="J43" s="5"/>
      <c r="K43" s="5"/>
      <c r="L43" s="5"/>
      <c r="M43" s="5"/>
      <c r="N43" s="5"/>
      <c r="O43" s="5">
        <f t="shared" si="1"/>
        <v>32642.16</v>
      </c>
    </row>
    <row r="44" spans="1:15" ht="42.75" customHeight="1">
      <c r="A44" s="19" t="s">
        <v>793</v>
      </c>
      <c r="B44" s="5"/>
      <c r="C44" s="5"/>
      <c r="D44" s="5"/>
      <c r="E44" s="5"/>
      <c r="F44" s="5"/>
      <c r="G44" s="5"/>
      <c r="H44" s="5">
        <v>4500</v>
      </c>
      <c r="I44" s="5"/>
      <c r="J44" s="5"/>
      <c r="K44" s="5"/>
      <c r="L44" s="5"/>
      <c r="M44" s="5"/>
      <c r="N44" s="5"/>
      <c r="O44" s="5">
        <v>4500</v>
      </c>
    </row>
    <row r="45" spans="1:15" ht="42.75" customHeight="1">
      <c r="A45" s="19" t="s">
        <v>5</v>
      </c>
      <c r="B45" s="5"/>
      <c r="C45" s="5"/>
      <c r="D45" s="5"/>
      <c r="E45" s="5"/>
      <c r="F45" s="5"/>
      <c r="G45" s="5"/>
      <c r="H45" s="5">
        <v>11440</v>
      </c>
      <c r="I45" s="5"/>
      <c r="J45" s="5"/>
      <c r="K45" s="5"/>
      <c r="L45" s="5"/>
      <c r="M45" s="5"/>
      <c r="N45" s="5"/>
      <c r="O45" s="5">
        <v>11440</v>
      </c>
    </row>
    <row r="46" spans="1:15" ht="42.75" customHeight="1">
      <c r="A46" s="19" t="s">
        <v>103</v>
      </c>
      <c r="B46" s="5"/>
      <c r="C46" s="5"/>
      <c r="D46" s="5"/>
      <c r="E46" s="5"/>
      <c r="F46" s="5"/>
      <c r="G46" s="5"/>
      <c r="H46" s="5"/>
      <c r="I46" s="5">
        <v>1656.64</v>
      </c>
      <c r="J46" s="5"/>
      <c r="K46" s="5"/>
      <c r="L46" s="5"/>
      <c r="M46" s="5"/>
      <c r="N46" s="5"/>
      <c r="O46" s="5">
        <v>1656.64</v>
      </c>
    </row>
    <row r="47" spans="1:15" ht="42.75" customHeight="1">
      <c r="A47" s="19" t="s">
        <v>94</v>
      </c>
      <c r="B47" s="5"/>
      <c r="C47" s="5"/>
      <c r="D47" s="5"/>
      <c r="E47" s="5"/>
      <c r="F47" s="5"/>
      <c r="G47" s="5"/>
      <c r="H47" s="5"/>
      <c r="I47" s="5">
        <v>56000</v>
      </c>
      <c r="J47" s="5"/>
      <c r="K47" s="5"/>
      <c r="L47" s="5"/>
      <c r="M47" s="5"/>
      <c r="N47" s="5"/>
      <c r="O47" s="5">
        <v>56000</v>
      </c>
    </row>
    <row r="48" spans="1:15" ht="42.75" customHeight="1">
      <c r="A48" s="19" t="s">
        <v>86</v>
      </c>
      <c r="B48" s="5"/>
      <c r="C48" s="5"/>
      <c r="D48" s="5"/>
      <c r="E48" s="5"/>
      <c r="F48" s="5"/>
      <c r="G48" s="5"/>
      <c r="H48" s="5"/>
      <c r="I48" s="5"/>
      <c r="J48" s="5">
        <v>74630</v>
      </c>
      <c r="K48" s="5"/>
      <c r="L48" s="5"/>
      <c r="M48" s="5"/>
      <c r="N48" s="5"/>
      <c r="O48" s="5">
        <v>74630</v>
      </c>
    </row>
    <row r="49" spans="1:15" ht="33" customHeight="1">
      <c r="A49" s="19" t="s">
        <v>618</v>
      </c>
      <c r="B49" s="5"/>
      <c r="C49" s="5"/>
      <c r="D49" s="5"/>
      <c r="E49" s="5"/>
      <c r="F49" s="5"/>
      <c r="G49" s="5">
        <v>998.32</v>
      </c>
      <c r="H49" s="5"/>
      <c r="I49" s="5"/>
      <c r="J49" s="5"/>
      <c r="K49" s="5"/>
      <c r="L49" s="5"/>
      <c r="M49" s="5"/>
      <c r="N49" s="5"/>
      <c r="O49" s="5">
        <f>SUM(C49:M49)</f>
        <v>998.32</v>
      </c>
    </row>
    <row r="50" spans="1:15" ht="30.75" customHeight="1">
      <c r="A50" s="19" t="s">
        <v>365</v>
      </c>
      <c r="B50" s="5"/>
      <c r="C50" s="5">
        <v>2947.48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f t="shared" si="1"/>
        <v>2947.48</v>
      </c>
    </row>
    <row r="51" spans="1:15" ht="15">
      <c r="A51" s="19" t="s">
        <v>614</v>
      </c>
      <c r="B51" s="5"/>
      <c r="C51" s="5"/>
      <c r="D51" s="5"/>
      <c r="E51" s="5"/>
      <c r="F51" s="5"/>
      <c r="G51" s="5">
        <v>532.16</v>
      </c>
      <c r="H51" s="5"/>
      <c r="I51" s="5"/>
      <c r="J51" s="5"/>
      <c r="K51" s="5"/>
      <c r="L51" s="5"/>
      <c r="M51" s="5"/>
      <c r="N51" s="5"/>
      <c r="O51" s="5">
        <f>SUM(G51:N51)</f>
        <v>532.16</v>
      </c>
    </row>
    <row r="52" spans="1:15" ht="15">
      <c r="A52" s="5" t="s">
        <v>415</v>
      </c>
      <c r="B52" s="5"/>
      <c r="C52" s="5">
        <f aca="true" t="shared" si="2" ref="C52:N52">SUM(C4:C51)</f>
        <v>43110.55080000001</v>
      </c>
      <c r="D52" s="5">
        <f t="shared" si="2"/>
        <v>40720.590800000005</v>
      </c>
      <c r="E52" s="5">
        <f t="shared" si="2"/>
        <v>40113.010800000004</v>
      </c>
      <c r="F52" s="5">
        <f>SUM(F4:F51)</f>
        <v>35211.25080000001</v>
      </c>
      <c r="G52" s="5">
        <f t="shared" si="2"/>
        <v>99168.31080000002</v>
      </c>
      <c r="H52" s="5">
        <f t="shared" si="2"/>
        <v>108907.92</v>
      </c>
      <c r="I52" s="5">
        <f t="shared" si="2"/>
        <v>90515.31</v>
      </c>
      <c r="J52" s="5">
        <f t="shared" si="2"/>
        <v>109651.13</v>
      </c>
      <c r="K52" s="5">
        <f t="shared" si="2"/>
        <v>0</v>
      </c>
      <c r="L52" s="5">
        <f t="shared" si="2"/>
        <v>0</v>
      </c>
      <c r="M52" s="5">
        <f t="shared" si="2"/>
        <v>0</v>
      </c>
      <c r="N52" s="5">
        <f t="shared" si="2"/>
        <v>0</v>
      </c>
      <c r="O52" s="5">
        <f>SUM(O4:O51)</f>
        <v>567398.074</v>
      </c>
    </row>
    <row r="53" spans="1:15" ht="15">
      <c r="A53" s="5" t="s">
        <v>419</v>
      </c>
      <c r="B53" s="5"/>
      <c r="C53" s="5">
        <v>30974.76</v>
      </c>
      <c r="D53" s="5">
        <v>53140.85</v>
      </c>
      <c r="E53" s="5">
        <v>52545.36</v>
      </c>
      <c r="F53" s="5">
        <v>53522.96</v>
      </c>
      <c r="G53" s="5">
        <v>50821.49</v>
      </c>
      <c r="H53" s="5">
        <v>34260.82</v>
      </c>
      <c r="I53" s="5">
        <v>51305.53</v>
      </c>
      <c r="J53" s="5">
        <v>54056.31</v>
      </c>
      <c r="K53" s="5"/>
      <c r="L53" s="5"/>
      <c r="M53" s="5"/>
      <c r="N53" s="5"/>
      <c r="O53" s="5">
        <f>SUM(C53:N53)</f>
        <v>380628.08</v>
      </c>
    </row>
    <row r="54" spans="1:15" s="12" customFormat="1" ht="15.75">
      <c r="A54" s="6" t="s">
        <v>420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f>SUM(O53+O58+O59+O60-O52+O1)</f>
        <v>-137724.604</v>
      </c>
    </row>
    <row r="55" spans="1:15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5">
      <c r="A56" s="5"/>
      <c r="B56" s="5" t="s">
        <v>484</v>
      </c>
      <c r="C56" s="5"/>
      <c r="D56" s="5"/>
      <c r="E56" s="5"/>
      <c r="F56" s="5"/>
      <c r="G56" s="5" t="s">
        <v>485</v>
      </c>
      <c r="H56" s="5"/>
      <c r="I56" s="5"/>
      <c r="J56" s="5"/>
      <c r="K56" s="5"/>
      <c r="L56" s="5"/>
      <c r="M56" s="5"/>
      <c r="N56" s="5"/>
      <c r="O56" s="5"/>
    </row>
    <row r="57" spans="1:15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5">
      <c r="A58" s="5" t="s">
        <v>401</v>
      </c>
      <c r="B58" s="5"/>
      <c r="C58" s="5"/>
      <c r="D58" s="5"/>
      <c r="E58" s="5">
        <v>2269.33</v>
      </c>
      <c r="F58" s="5">
        <f>2677.5+12640.3</f>
        <v>15317.8</v>
      </c>
      <c r="G58" s="5">
        <v>2677.5</v>
      </c>
      <c r="H58" s="5">
        <f>892.5+450</f>
        <v>1342.5</v>
      </c>
      <c r="I58" s="5"/>
      <c r="J58" s="5">
        <v>64107.33</v>
      </c>
      <c r="K58" s="5"/>
      <c r="L58" s="5"/>
      <c r="M58" s="5"/>
      <c r="N58" s="5"/>
      <c r="O58" s="5">
        <f>SUM(C58:N58)</f>
        <v>85714.45999999999</v>
      </c>
    </row>
    <row r="59" spans="1:15" ht="15">
      <c r="A59" s="5" t="s">
        <v>604</v>
      </c>
      <c r="B59" s="5"/>
      <c r="C59" s="5"/>
      <c r="D59" s="5"/>
      <c r="E59" s="5"/>
      <c r="F59" s="5">
        <v>378</v>
      </c>
      <c r="G59" s="5"/>
      <c r="H59" s="5">
        <v>400</v>
      </c>
      <c r="I59" s="5"/>
      <c r="J59" s="5">
        <v>240</v>
      </c>
      <c r="K59" s="5"/>
      <c r="L59" s="5"/>
      <c r="M59" s="5"/>
      <c r="N59" s="5"/>
      <c r="O59" s="5">
        <f>SUM(F59:N59)</f>
        <v>1018</v>
      </c>
    </row>
    <row r="60" spans="1:15" ht="15">
      <c r="A60" s="5" t="s">
        <v>527</v>
      </c>
      <c r="B60" s="5"/>
      <c r="C60" s="5"/>
      <c r="D60" s="5"/>
      <c r="E60" s="5"/>
      <c r="F60" s="5">
        <v>3675</v>
      </c>
      <c r="G60" s="5">
        <v>1513.5</v>
      </c>
      <c r="H60" s="5">
        <v>600</v>
      </c>
      <c r="I60" s="5"/>
      <c r="J60" s="5">
        <v>140</v>
      </c>
      <c r="K60" s="5"/>
      <c r="L60" s="5"/>
      <c r="M60" s="5"/>
      <c r="N60" s="5"/>
      <c r="O60" s="5">
        <f>SUM(F60:N60)</f>
        <v>5928.5</v>
      </c>
    </row>
    <row r="66" spans="2:6" ht="12.75">
      <c r="B66" s="30"/>
      <c r="C66" s="31"/>
      <c r="D66" s="31"/>
      <c r="E66" s="31"/>
      <c r="F66" s="32"/>
    </row>
  </sheetData>
  <sheetProtection/>
  <printOptions/>
  <pageMargins left="0.75" right="0.75" top="1" bottom="1" header="0.5" footer="0.5"/>
  <pageSetup horizontalDpi="600" verticalDpi="600" orientation="landscape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pane xSplit="5" ySplit="26" topLeftCell="F48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I19" sqref="I19"/>
    </sheetView>
  </sheetViews>
  <sheetFormatPr defaultColWidth="9.00390625" defaultRowHeight="12.75"/>
  <cols>
    <col min="1" max="1" width="34.375" style="14" customWidth="1"/>
    <col min="2" max="2" width="11.375" style="14" customWidth="1"/>
    <col min="3" max="3" width="7.25390625" style="14" customWidth="1"/>
    <col min="4" max="16384" width="9.125" style="14" customWidth="1"/>
  </cols>
  <sheetData>
    <row r="1" spans="1:15" s="12" customFormat="1" ht="12.75">
      <c r="A1" s="2" t="s">
        <v>422</v>
      </c>
      <c r="B1" s="2">
        <v>3665.86</v>
      </c>
      <c r="C1" s="2" t="s">
        <v>392</v>
      </c>
      <c r="D1" s="2"/>
      <c r="E1" s="2" t="s">
        <v>447</v>
      </c>
      <c r="F1" s="2"/>
      <c r="G1" s="2" t="s">
        <v>601</v>
      </c>
      <c r="H1" s="2"/>
      <c r="I1" s="2"/>
      <c r="J1" s="2"/>
      <c r="K1" s="2"/>
      <c r="L1" s="2"/>
      <c r="M1" s="2"/>
      <c r="N1" s="2"/>
      <c r="O1" s="2">
        <v>178518.46</v>
      </c>
    </row>
    <row r="2" spans="1:15" ht="12.75">
      <c r="A2" s="1" t="s">
        <v>421</v>
      </c>
      <c r="B2" s="1">
        <f>PRODUCT(B1,10.65)</f>
        <v>39041.409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12" customFormat="1" ht="12.75">
      <c r="A3" s="2" t="s">
        <v>409</v>
      </c>
      <c r="B3" s="2" t="s">
        <v>410</v>
      </c>
      <c r="C3" s="2" t="s">
        <v>434</v>
      </c>
      <c r="D3" s="2" t="s">
        <v>438</v>
      </c>
      <c r="E3" s="2" t="s">
        <v>437</v>
      </c>
      <c r="F3" s="2" t="s">
        <v>436</v>
      </c>
      <c r="G3" s="2" t="s">
        <v>453</v>
      </c>
      <c r="H3" s="2" t="s">
        <v>414</v>
      </c>
      <c r="I3" s="2" t="s">
        <v>416</v>
      </c>
      <c r="J3" s="2" t="s">
        <v>417</v>
      </c>
      <c r="K3" s="2" t="s">
        <v>423</v>
      </c>
      <c r="L3" s="2" t="s">
        <v>424</v>
      </c>
      <c r="M3" s="2" t="s">
        <v>425</v>
      </c>
      <c r="N3" s="2" t="s">
        <v>426</v>
      </c>
      <c r="O3" s="2" t="s">
        <v>427</v>
      </c>
    </row>
    <row r="4" spans="1:15" ht="12.75">
      <c r="A4" s="1" t="s">
        <v>411</v>
      </c>
      <c r="B4" s="1">
        <v>1.57</v>
      </c>
      <c r="C4" s="1">
        <f>B4*B1</f>
        <v>5755.4002</v>
      </c>
      <c r="D4" s="1">
        <f>B4*B1</f>
        <v>5755.4002</v>
      </c>
      <c r="E4" s="1">
        <f>B4*B1</f>
        <v>5755.4002</v>
      </c>
      <c r="F4" s="1">
        <f>B4*B1</f>
        <v>5755.4002</v>
      </c>
      <c r="G4" s="1">
        <f>B4*B1</f>
        <v>5755.4002</v>
      </c>
      <c r="H4" s="1">
        <v>5755.4</v>
      </c>
      <c r="I4" s="1">
        <v>5755.4</v>
      </c>
      <c r="J4" s="1">
        <v>5755.4</v>
      </c>
      <c r="K4" s="1"/>
      <c r="L4" s="1"/>
      <c r="M4" s="1"/>
      <c r="N4" s="1"/>
      <c r="O4" s="1">
        <f>SUM(C4:I4)</f>
        <v>40287.801</v>
      </c>
    </row>
    <row r="5" spans="1:15" ht="12.75">
      <c r="A5" s="1" t="s">
        <v>451</v>
      </c>
      <c r="B5" s="1">
        <v>1.6</v>
      </c>
      <c r="C5" s="1">
        <f>B5*B1</f>
        <v>5865.376</v>
      </c>
      <c r="D5" s="1">
        <f>B5*B1</f>
        <v>5865.376</v>
      </c>
      <c r="E5" s="1">
        <f>B5*B1</f>
        <v>5865.376</v>
      </c>
      <c r="F5" s="1">
        <f>B5*B1</f>
        <v>5865.376</v>
      </c>
      <c r="G5" s="1">
        <f>B5*B1</f>
        <v>5865.376</v>
      </c>
      <c r="H5" s="1">
        <v>5865.38</v>
      </c>
      <c r="I5" s="1">
        <v>5865.38</v>
      </c>
      <c r="J5" s="1">
        <v>5865.38</v>
      </c>
      <c r="K5" s="1"/>
      <c r="L5" s="1"/>
      <c r="M5" s="1"/>
      <c r="N5" s="1"/>
      <c r="O5" s="1">
        <f>SUM(C5:I5)</f>
        <v>41057.64</v>
      </c>
    </row>
    <row r="6" spans="1:15" ht="12.75">
      <c r="A6" s="1" t="s">
        <v>412</v>
      </c>
      <c r="B6" s="1">
        <v>1.6</v>
      </c>
      <c r="C6" s="1">
        <f>B6*B1</f>
        <v>5865.376</v>
      </c>
      <c r="D6" s="1">
        <f>B6*B1</f>
        <v>5865.376</v>
      </c>
      <c r="E6" s="1">
        <f>B6*B1</f>
        <v>5865.376</v>
      </c>
      <c r="F6" s="1">
        <f>B6*B1</f>
        <v>5865.376</v>
      </c>
      <c r="G6" s="1">
        <f>B6*B1</f>
        <v>5865.376</v>
      </c>
      <c r="H6" s="1">
        <v>5865.38</v>
      </c>
      <c r="I6" s="1">
        <v>5865.38</v>
      </c>
      <c r="J6" s="1">
        <v>5865.38</v>
      </c>
      <c r="K6" s="1"/>
      <c r="L6" s="1"/>
      <c r="M6" s="1"/>
      <c r="N6" s="1"/>
      <c r="O6" s="1">
        <f>SUM(C6:I6)</f>
        <v>41057.64</v>
      </c>
    </row>
    <row r="7" spans="1:15" ht="12.75">
      <c r="A7" s="1" t="s">
        <v>491</v>
      </c>
      <c r="B7" s="1">
        <v>0.44</v>
      </c>
      <c r="C7" s="1">
        <f>B7*B1</f>
        <v>1612.9784</v>
      </c>
      <c r="D7" s="1">
        <f>B7*B1</f>
        <v>1612.9784</v>
      </c>
      <c r="E7" s="1">
        <f>B7*B1</f>
        <v>1612.9784</v>
      </c>
      <c r="F7" s="1">
        <f>B7*B1</f>
        <v>1612.9784</v>
      </c>
      <c r="G7" s="1">
        <f>B7*B1</f>
        <v>1612.9784</v>
      </c>
      <c r="H7" s="1">
        <v>1612.98</v>
      </c>
      <c r="I7" s="1">
        <v>1612.98</v>
      </c>
      <c r="J7" s="1">
        <v>1612.98</v>
      </c>
      <c r="K7" s="1"/>
      <c r="L7" s="1"/>
      <c r="M7" s="1"/>
      <c r="N7" s="1"/>
      <c r="O7" s="1">
        <f>SUM(C7:I7)</f>
        <v>11290.851999999999</v>
      </c>
    </row>
    <row r="8" spans="1:15" ht="12.75">
      <c r="A8" s="3" t="s">
        <v>429</v>
      </c>
      <c r="B8" s="1"/>
      <c r="C8" s="1">
        <v>168.63</v>
      </c>
      <c r="D8" s="1">
        <v>168.63</v>
      </c>
      <c r="E8" s="1">
        <v>168.63</v>
      </c>
      <c r="F8" s="1">
        <v>168.63</v>
      </c>
      <c r="G8" s="1">
        <v>168.63</v>
      </c>
      <c r="H8" s="1">
        <v>117.31</v>
      </c>
      <c r="I8" s="1">
        <v>531.55</v>
      </c>
      <c r="J8" s="1">
        <v>531.55</v>
      </c>
      <c r="K8" s="1"/>
      <c r="L8" s="1"/>
      <c r="M8" s="1"/>
      <c r="N8" s="1"/>
      <c r="O8" s="1">
        <f>SUM(C8:N8)</f>
        <v>2023.56</v>
      </c>
    </row>
    <row r="9" spans="1:15" ht="12.75">
      <c r="A9" s="3" t="s">
        <v>278</v>
      </c>
      <c r="B9" s="1"/>
      <c r="C9" s="1">
        <v>500</v>
      </c>
      <c r="D9" s="1">
        <v>500</v>
      </c>
      <c r="E9" s="1">
        <v>500</v>
      </c>
      <c r="F9" s="1">
        <v>500</v>
      </c>
      <c r="G9" s="1">
        <v>0</v>
      </c>
      <c r="H9" s="1"/>
      <c r="I9" s="1"/>
      <c r="J9" s="1"/>
      <c r="K9" s="1"/>
      <c r="L9" s="1"/>
      <c r="M9" s="1"/>
      <c r="N9" s="1"/>
      <c r="O9" s="1">
        <f>SUM(C9:N9)</f>
        <v>2000</v>
      </c>
    </row>
    <row r="10" spans="1:15" ht="12.75">
      <c r="A10" s="3" t="s">
        <v>478</v>
      </c>
      <c r="B10" s="1"/>
      <c r="C10" s="1">
        <v>4068.68</v>
      </c>
      <c r="D10" s="1">
        <v>4068.68</v>
      </c>
      <c r="E10" s="1">
        <v>4068.68</v>
      </c>
      <c r="F10" s="1">
        <v>4068.68</v>
      </c>
      <c r="G10" s="1">
        <v>4068.68</v>
      </c>
      <c r="H10" s="1">
        <v>4068.68</v>
      </c>
      <c r="I10" s="1">
        <v>4068.68</v>
      </c>
      <c r="J10" s="1">
        <v>4068.68</v>
      </c>
      <c r="K10" s="1"/>
      <c r="L10" s="1"/>
      <c r="M10" s="1"/>
      <c r="N10" s="1"/>
      <c r="O10" s="1">
        <f>SUM(C10:N10)</f>
        <v>32549.44</v>
      </c>
    </row>
    <row r="11" spans="1:15" ht="12.75">
      <c r="A11" s="3" t="s">
        <v>435</v>
      </c>
      <c r="B11" s="1">
        <v>0.66</v>
      </c>
      <c r="C11" s="1">
        <v>2419.47</v>
      </c>
      <c r="D11" s="1">
        <v>2419.47</v>
      </c>
      <c r="E11" s="1">
        <v>2419.47</v>
      </c>
      <c r="F11" s="1">
        <v>2419.47</v>
      </c>
      <c r="G11" s="1">
        <v>2419.47</v>
      </c>
      <c r="H11" s="1">
        <v>2419.47</v>
      </c>
      <c r="I11" s="1">
        <v>2419.47</v>
      </c>
      <c r="J11" s="1">
        <v>2419.47</v>
      </c>
      <c r="K11" s="1"/>
      <c r="L11" s="1"/>
      <c r="M11" s="1"/>
      <c r="N11" s="1"/>
      <c r="O11" s="1">
        <f>SUM(C11:I11)</f>
        <v>16936.289999999997</v>
      </c>
    </row>
    <row r="12" spans="1:15" ht="22.5">
      <c r="A12" s="3" t="s">
        <v>608</v>
      </c>
      <c r="B12" s="1"/>
      <c r="C12" s="1">
        <v>4068.68</v>
      </c>
      <c r="D12" s="1">
        <v>4068.68</v>
      </c>
      <c r="E12" s="1">
        <v>4068.68</v>
      </c>
      <c r="F12" s="1">
        <v>4068.68</v>
      </c>
      <c r="G12" s="1">
        <v>4068.68</v>
      </c>
      <c r="H12" s="1">
        <v>4068.68</v>
      </c>
      <c r="I12" s="1">
        <v>4068.68</v>
      </c>
      <c r="J12" s="1">
        <v>4068.68</v>
      </c>
      <c r="K12" s="1"/>
      <c r="L12" s="1"/>
      <c r="M12" s="1"/>
      <c r="N12" s="1"/>
      <c r="O12" s="1">
        <f>SUM(C12:N12)</f>
        <v>32549.44</v>
      </c>
    </row>
    <row r="13" spans="1:15" ht="22.5">
      <c r="A13" s="3" t="s">
        <v>498</v>
      </c>
      <c r="B13" s="1"/>
      <c r="C13" s="1"/>
      <c r="D13" s="1">
        <v>828.32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>
        <f aca="true" t="shared" si="0" ref="O13:O49">SUM(C13:I13)</f>
        <v>828.32</v>
      </c>
    </row>
    <row r="14" spans="1:15" ht="22.5">
      <c r="A14" s="3" t="s">
        <v>496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>
        <f t="shared" si="0"/>
        <v>0</v>
      </c>
    </row>
    <row r="15" spans="1:15" ht="12.75">
      <c r="A15" s="3" t="s">
        <v>490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>
        <f t="shared" si="0"/>
        <v>0</v>
      </c>
    </row>
    <row r="16" spans="1:15" ht="12.75">
      <c r="A16" s="3" t="s">
        <v>682</v>
      </c>
      <c r="B16" s="1"/>
      <c r="C16" s="1"/>
      <c r="D16" s="1"/>
      <c r="E16" s="1"/>
      <c r="F16" s="1"/>
      <c r="G16" s="1">
        <v>6210</v>
      </c>
      <c r="H16" s="1"/>
      <c r="I16" s="1"/>
      <c r="J16" s="1"/>
      <c r="K16" s="1"/>
      <c r="L16" s="1"/>
      <c r="M16" s="1"/>
      <c r="N16" s="1"/>
      <c r="O16" s="1">
        <f>SUM(C16:N16)</f>
        <v>6210</v>
      </c>
    </row>
    <row r="17" spans="1:15" ht="12.75">
      <c r="A17" s="3" t="s">
        <v>26</v>
      </c>
      <c r="B17" s="1"/>
      <c r="C17" s="1"/>
      <c r="D17" s="1"/>
      <c r="E17" s="1"/>
      <c r="F17" s="1"/>
      <c r="G17" s="1"/>
      <c r="H17" s="1"/>
      <c r="I17" s="1"/>
      <c r="J17" s="1">
        <v>16189.91</v>
      </c>
      <c r="K17" s="1"/>
      <c r="L17" s="1"/>
      <c r="M17" s="1"/>
      <c r="N17" s="1"/>
      <c r="O17" s="1">
        <v>16189.91</v>
      </c>
    </row>
    <row r="18" spans="1:15" ht="12.75">
      <c r="A18" s="3" t="s">
        <v>700</v>
      </c>
      <c r="B18" s="1"/>
      <c r="C18" s="1"/>
      <c r="D18" s="1"/>
      <c r="E18" s="1"/>
      <c r="F18" s="1">
        <v>828.32</v>
      </c>
      <c r="G18" s="1"/>
      <c r="H18" s="1"/>
      <c r="I18" s="1"/>
      <c r="J18" s="1"/>
      <c r="K18" s="1"/>
      <c r="L18" s="1"/>
      <c r="M18" s="1"/>
      <c r="N18" s="1"/>
      <c r="O18" s="1">
        <v>828.32</v>
      </c>
    </row>
    <row r="19" spans="1:15" ht="12.75">
      <c r="A19" s="3" t="s">
        <v>707</v>
      </c>
      <c r="B19" s="1"/>
      <c r="C19" s="1"/>
      <c r="D19" s="1"/>
      <c r="E19" s="1"/>
      <c r="F19" s="1">
        <v>828.32</v>
      </c>
      <c r="G19" s="1"/>
      <c r="H19" s="1"/>
      <c r="I19" s="1"/>
      <c r="J19" s="1"/>
      <c r="K19" s="1"/>
      <c r="L19" s="1"/>
      <c r="M19" s="1"/>
      <c r="N19" s="1"/>
      <c r="O19" s="1">
        <v>828.32</v>
      </c>
    </row>
    <row r="20" spans="1:15" ht="12.75">
      <c r="A20" s="3" t="s">
        <v>230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</row>
    <row r="21" spans="1:15" ht="22.5">
      <c r="A21" s="3" t="s">
        <v>70</v>
      </c>
      <c r="B21" s="1"/>
      <c r="C21" s="1"/>
      <c r="D21" s="1"/>
      <c r="E21" s="1"/>
      <c r="F21" s="1"/>
      <c r="G21" s="1"/>
      <c r="H21" s="1"/>
      <c r="I21" s="1">
        <v>207.08</v>
      </c>
      <c r="J21" s="1"/>
      <c r="K21" s="1"/>
      <c r="L21" s="1"/>
      <c r="M21" s="1"/>
      <c r="N21" s="1"/>
      <c r="O21" s="1">
        <v>207.08</v>
      </c>
    </row>
    <row r="22" spans="1:15" ht="12.75">
      <c r="A22" s="3" t="s">
        <v>86</v>
      </c>
      <c r="B22" s="1"/>
      <c r="C22" s="1"/>
      <c r="D22" s="1"/>
      <c r="E22" s="1"/>
      <c r="F22" s="1"/>
      <c r="G22" s="1"/>
      <c r="H22" s="1"/>
      <c r="I22" s="1">
        <v>142650</v>
      </c>
      <c r="J22" s="1"/>
      <c r="K22" s="1"/>
      <c r="L22" s="1"/>
      <c r="M22" s="1"/>
      <c r="N22" s="1"/>
      <c r="O22" s="1">
        <v>142650</v>
      </c>
    </row>
    <row r="23" spans="1:15" ht="12.75">
      <c r="A23" s="3" t="s">
        <v>59</v>
      </c>
      <c r="B23" s="1"/>
      <c r="C23" s="1"/>
      <c r="D23" s="1"/>
      <c r="E23" s="1"/>
      <c r="F23" s="1"/>
      <c r="G23" s="1"/>
      <c r="H23" s="1"/>
      <c r="I23" s="1">
        <v>350</v>
      </c>
      <c r="J23" s="1"/>
      <c r="K23" s="1"/>
      <c r="L23" s="1"/>
      <c r="M23" s="1"/>
      <c r="N23" s="1"/>
      <c r="O23" s="1">
        <v>350</v>
      </c>
    </row>
    <row r="24" spans="1:15" ht="12.75">
      <c r="A24" s="3" t="s">
        <v>60</v>
      </c>
      <c r="B24" s="1"/>
      <c r="C24" s="1"/>
      <c r="D24" s="1"/>
      <c r="E24" s="1"/>
      <c r="F24" s="1"/>
      <c r="G24" s="1"/>
      <c r="H24" s="1"/>
      <c r="I24" s="1">
        <v>36088.33</v>
      </c>
      <c r="J24" s="1"/>
      <c r="K24" s="1"/>
      <c r="L24" s="1"/>
      <c r="M24" s="1"/>
      <c r="N24" s="1"/>
      <c r="O24" s="1">
        <v>36088.33</v>
      </c>
    </row>
    <row r="25" spans="1:15" ht="12.75">
      <c r="A25" s="3" t="s">
        <v>713</v>
      </c>
      <c r="B25" s="1"/>
      <c r="C25" s="1"/>
      <c r="D25" s="1"/>
      <c r="E25" s="1"/>
      <c r="F25" s="1">
        <v>4180.96</v>
      </c>
      <c r="G25" s="1"/>
      <c r="H25" s="1"/>
      <c r="I25" s="1"/>
      <c r="J25" s="1"/>
      <c r="K25" s="1"/>
      <c r="L25" s="1"/>
      <c r="M25" s="1"/>
      <c r="N25" s="1"/>
      <c r="O25" s="1">
        <f>SUM(C25:N25)</f>
        <v>4180.96</v>
      </c>
    </row>
    <row r="26" spans="1:15" ht="12.75">
      <c r="A26" s="3" t="s">
        <v>509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</row>
    <row r="27" spans="1:15" ht="12.75">
      <c r="A27" s="3" t="s">
        <v>733</v>
      </c>
      <c r="B27" s="1"/>
      <c r="C27" s="1"/>
      <c r="D27" s="1"/>
      <c r="E27" s="1"/>
      <c r="F27" s="1">
        <v>207.08</v>
      </c>
      <c r="G27" s="1"/>
      <c r="H27" s="1"/>
      <c r="I27" s="1"/>
      <c r="J27" s="1"/>
      <c r="K27" s="1"/>
      <c r="L27" s="1"/>
      <c r="M27" s="1"/>
      <c r="N27" s="1"/>
      <c r="O27" s="1">
        <v>207.08</v>
      </c>
    </row>
    <row r="28" spans="1:15" ht="12.75">
      <c r="A28" s="3" t="s">
        <v>231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</row>
    <row r="29" spans="1:15" ht="12.75">
      <c r="A29" s="3" t="s">
        <v>701</v>
      </c>
      <c r="B29" s="1"/>
      <c r="C29" s="1"/>
      <c r="D29" s="1"/>
      <c r="E29" s="1"/>
      <c r="F29" s="1">
        <v>1423.08</v>
      </c>
      <c r="G29" s="1"/>
      <c r="H29" s="1"/>
      <c r="I29" s="1"/>
      <c r="J29" s="1"/>
      <c r="K29" s="1"/>
      <c r="L29" s="1"/>
      <c r="M29" s="1"/>
      <c r="N29" s="1"/>
      <c r="O29" s="1">
        <f>SUM(C29:N29)</f>
        <v>1423.08</v>
      </c>
    </row>
    <row r="30" spans="1:15" ht="12.75">
      <c r="A30" s="3" t="s">
        <v>511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</row>
    <row r="31" spans="1:15" ht="12.75">
      <c r="A31" s="3" t="s">
        <v>499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</row>
    <row r="32" spans="1:15" ht="12.75">
      <c r="A32" s="3" t="s">
        <v>366</v>
      </c>
      <c r="B32" s="1"/>
      <c r="C32" s="1"/>
      <c r="D32" s="1"/>
      <c r="E32" s="1"/>
      <c r="F32" s="1">
        <v>275</v>
      </c>
      <c r="G32" s="1"/>
      <c r="H32" s="1"/>
      <c r="I32" s="1"/>
      <c r="J32" s="1"/>
      <c r="K32" s="1"/>
      <c r="L32" s="1"/>
      <c r="M32" s="1"/>
      <c r="N32" s="1"/>
      <c r="O32" s="1">
        <f t="shared" si="0"/>
        <v>275</v>
      </c>
    </row>
    <row r="33" spans="1:15" ht="12.75">
      <c r="A33" s="3" t="s">
        <v>325</v>
      </c>
      <c r="B33" s="1"/>
      <c r="C33" s="1"/>
      <c r="D33" s="1"/>
      <c r="E33" s="1"/>
      <c r="F33" s="1">
        <v>207.08</v>
      </c>
      <c r="G33" s="1"/>
      <c r="H33" s="1"/>
      <c r="I33" s="1"/>
      <c r="J33" s="1"/>
      <c r="K33" s="1"/>
      <c r="L33" s="1"/>
      <c r="M33" s="1"/>
      <c r="N33" s="1"/>
      <c r="O33" s="1">
        <f t="shared" si="0"/>
        <v>207.08</v>
      </c>
    </row>
    <row r="34" spans="1:15" ht="12.75">
      <c r="A34" s="3" t="s">
        <v>300</v>
      </c>
      <c r="B34" s="1"/>
      <c r="C34" s="1"/>
      <c r="D34" s="1"/>
      <c r="E34" s="1"/>
      <c r="F34" s="1">
        <v>76</v>
      </c>
      <c r="G34" s="1"/>
      <c r="H34" s="1"/>
      <c r="I34" s="1"/>
      <c r="J34" s="1"/>
      <c r="K34" s="1"/>
      <c r="L34" s="1"/>
      <c r="M34" s="1"/>
      <c r="N34" s="1"/>
      <c r="O34" s="1">
        <f t="shared" si="0"/>
        <v>76</v>
      </c>
    </row>
    <row r="35" spans="1:15" ht="12.75">
      <c r="A35" s="3" t="s">
        <v>497</v>
      </c>
      <c r="B35" s="1"/>
      <c r="C35" s="1"/>
      <c r="D35" s="1"/>
      <c r="E35" s="1"/>
      <c r="F35" s="1"/>
      <c r="G35" s="1"/>
      <c r="H35" s="1">
        <v>20932.24</v>
      </c>
      <c r="I35" s="1"/>
      <c r="J35" s="1"/>
      <c r="K35" s="1"/>
      <c r="L35" s="1"/>
      <c r="M35" s="1"/>
      <c r="N35" s="1"/>
      <c r="O35" s="1">
        <f t="shared" si="0"/>
        <v>20932.24</v>
      </c>
    </row>
    <row r="36" spans="1:15" ht="22.5">
      <c r="A36" s="3" t="s">
        <v>638</v>
      </c>
      <c r="B36" s="1"/>
      <c r="C36" s="1"/>
      <c r="D36" s="1"/>
      <c r="E36" s="1"/>
      <c r="F36" s="1"/>
      <c r="G36" s="1">
        <v>27140.12</v>
      </c>
      <c r="H36" s="1"/>
      <c r="I36" s="1"/>
      <c r="J36" s="1"/>
      <c r="K36" s="1"/>
      <c r="L36" s="1"/>
      <c r="M36" s="1"/>
      <c r="N36" s="1"/>
      <c r="O36" s="1">
        <f>SUM(C36:N36)</f>
        <v>27140.12</v>
      </c>
    </row>
    <row r="37" spans="1:15" ht="12.75">
      <c r="A37" s="3" t="s">
        <v>367</v>
      </c>
      <c r="B37" s="1"/>
      <c r="C37" s="1"/>
      <c r="D37" s="1"/>
      <c r="E37" s="1">
        <v>207.08</v>
      </c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207.08</v>
      </c>
    </row>
    <row r="38" spans="1:15" ht="22.5">
      <c r="A38" s="3" t="s">
        <v>368</v>
      </c>
      <c r="B38" s="1"/>
      <c r="C38" s="1"/>
      <c r="D38" s="1"/>
      <c r="E38" s="1">
        <v>5074.14</v>
      </c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5074.14</v>
      </c>
    </row>
    <row r="39" spans="1:15" ht="33.75">
      <c r="A39" s="3" t="s">
        <v>369</v>
      </c>
      <c r="B39" s="1"/>
      <c r="C39" s="1"/>
      <c r="D39" s="1"/>
      <c r="E39" s="1">
        <v>1315.79</v>
      </c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1315.79</v>
      </c>
    </row>
    <row r="40" spans="1:15" ht="22.5">
      <c r="A40" s="3" t="s">
        <v>370</v>
      </c>
      <c r="B40" s="1"/>
      <c r="C40" s="1"/>
      <c r="D40" s="1">
        <v>414.16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414.16</v>
      </c>
    </row>
    <row r="41" spans="1:15" ht="22.5">
      <c r="A41" s="3" t="s">
        <v>371</v>
      </c>
      <c r="B41" s="1"/>
      <c r="C41" s="1"/>
      <c r="D41" s="1">
        <v>828.32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828.32</v>
      </c>
    </row>
    <row r="42" spans="1:15" ht="22.5">
      <c r="A42" s="3" t="s">
        <v>372</v>
      </c>
      <c r="B42" s="1"/>
      <c r="C42" s="1"/>
      <c r="D42" s="1">
        <v>2253.4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f t="shared" si="0"/>
        <v>2253.4</v>
      </c>
    </row>
    <row r="43" spans="1:15" ht="15.75" customHeight="1">
      <c r="A43" s="3" t="s">
        <v>373</v>
      </c>
      <c r="B43" s="1"/>
      <c r="C43" s="1"/>
      <c r="D43" s="1">
        <v>207.08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207.08</v>
      </c>
    </row>
    <row r="44" spans="1:15" ht="12.75">
      <c r="A44" s="3" t="s">
        <v>374</v>
      </c>
      <c r="B44" s="1"/>
      <c r="C44" s="1">
        <v>1709.64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1709.64</v>
      </c>
    </row>
    <row r="45" spans="1:15" ht="12.75">
      <c r="A45" s="3" t="s">
        <v>375</v>
      </c>
      <c r="B45" s="1"/>
      <c r="C45" s="1">
        <v>414.16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414.16</v>
      </c>
    </row>
    <row r="46" spans="1:15" ht="12.75">
      <c r="A46" s="3" t="s">
        <v>5</v>
      </c>
      <c r="B46" s="1"/>
      <c r="C46" s="1"/>
      <c r="D46" s="1"/>
      <c r="E46" s="1"/>
      <c r="F46" s="1"/>
      <c r="G46" s="1"/>
      <c r="H46" s="1">
        <v>11440</v>
      </c>
      <c r="I46" s="1"/>
      <c r="J46" s="1"/>
      <c r="K46" s="1"/>
      <c r="L46" s="1"/>
      <c r="M46" s="1"/>
      <c r="N46" s="1"/>
      <c r="O46" s="1">
        <v>11440</v>
      </c>
    </row>
    <row r="47" spans="1:15" ht="23.25" customHeight="1">
      <c r="A47" s="3" t="s">
        <v>376</v>
      </c>
      <c r="B47" s="1"/>
      <c r="C47" s="1">
        <v>414.16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f t="shared" si="0"/>
        <v>414.16</v>
      </c>
    </row>
    <row r="48" spans="1:15" s="29" customFormat="1" ht="12.75">
      <c r="A48" s="3" t="s">
        <v>377</v>
      </c>
      <c r="B48" s="22"/>
      <c r="C48" s="1">
        <v>449.16</v>
      </c>
      <c r="D48" s="22"/>
      <c r="E48" s="22"/>
      <c r="F48" s="1"/>
      <c r="G48" s="22"/>
      <c r="H48" s="22"/>
      <c r="I48" s="1"/>
      <c r="J48" s="22"/>
      <c r="K48" s="22"/>
      <c r="L48" s="22"/>
      <c r="M48" s="22"/>
      <c r="N48" s="22"/>
      <c r="O48" s="1">
        <f t="shared" si="0"/>
        <v>449.16</v>
      </c>
    </row>
    <row r="49" spans="1:15" ht="12.75">
      <c r="A49" s="3" t="s">
        <v>528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>
        <f t="shared" si="0"/>
        <v>0</v>
      </c>
    </row>
    <row r="50" spans="1:15" ht="12.75">
      <c r="A50" s="1" t="s">
        <v>415</v>
      </c>
      <c r="B50" s="1"/>
      <c r="C50" s="1">
        <f aca="true" t="shared" si="1" ref="C50:N50">SUM(C4:C49)</f>
        <v>33311.710600000006</v>
      </c>
      <c r="D50" s="1">
        <f t="shared" si="1"/>
        <v>34855.8706</v>
      </c>
      <c r="E50" s="1">
        <f t="shared" si="1"/>
        <v>36921.600600000005</v>
      </c>
      <c r="F50" s="1">
        <f t="shared" si="1"/>
        <v>38350.43060000001</v>
      </c>
      <c r="G50" s="1">
        <f t="shared" si="1"/>
        <v>63174.710600000006</v>
      </c>
      <c r="H50" s="1">
        <f t="shared" si="1"/>
        <v>62145.520000000004</v>
      </c>
      <c r="I50" s="1">
        <f t="shared" si="1"/>
        <v>209482.93</v>
      </c>
      <c r="J50" s="1">
        <f t="shared" si="1"/>
        <v>46377.43</v>
      </c>
      <c r="K50" s="1">
        <f t="shared" si="1"/>
        <v>0</v>
      </c>
      <c r="L50" s="1">
        <f t="shared" si="1"/>
        <v>0</v>
      </c>
      <c r="M50" s="1">
        <f t="shared" si="1"/>
        <v>0</v>
      </c>
      <c r="N50" s="1">
        <f t="shared" si="1"/>
        <v>0</v>
      </c>
      <c r="O50" s="1">
        <f>SUM(C50:N50)</f>
        <v>524620.2030000001</v>
      </c>
    </row>
    <row r="51" spans="1:15" ht="12.75">
      <c r="A51" s="1" t="s">
        <v>419</v>
      </c>
      <c r="B51" s="1"/>
      <c r="C51" s="1">
        <v>34394.57</v>
      </c>
      <c r="D51" s="1">
        <v>39311.34</v>
      </c>
      <c r="E51" s="1">
        <v>58248.71</v>
      </c>
      <c r="F51" s="1">
        <v>44863</v>
      </c>
      <c r="G51" s="1">
        <v>52498.81</v>
      </c>
      <c r="H51" s="1">
        <v>41986.84</v>
      </c>
      <c r="I51" s="1">
        <v>50553.34</v>
      </c>
      <c r="J51" s="1">
        <v>45358.34</v>
      </c>
      <c r="K51" s="1"/>
      <c r="L51" s="1"/>
      <c r="M51" s="1"/>
      <c r="N51" s="1"/>
      <c r="O51" s="1">
        <f>SUM(C51:N51)</f>
        <v>367214.94999999995</v>
      </c>
    </row>
    <row r="52" spans="1:15" s="12" customFormat="1" ht="12.75">
      <c r="A52" s="2" t="s">
        <v>420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>
        <f>SUM(O55+O54+O53+O51-O50+O1)</f>
        <v>146555.44699999984</v>
      </c>
    </row>
    <row r="53" spans="1:15" s="12" customFormat="1" ht="12.75">
      <c r="A53" s="1" t="s">
        <v>403</v>
      </c>
      <c r="B53" s="2"/>
      <c r="C53" s="2"/>
      <c r="D53" s="2"/>
      <c r="E53" s="2"/>
      <c r="F53" s="2">
        <f>28249.98+36588.8</f>
        <v>64838.78</v>
      </c>
      <c r="G53" s="2"/>
      <c r="H53" s="2"/>
      <c r="I53" s="2"/>
      <c r="J53" s="2">
        <v>53656.96</v>
      </c>
      <c r="K53" s="2"/>
      <c r="L53" s="2"/>
      <c r="M53" s="2"/>
      <c r="N53" s="1"/>
      <c r="O53" s="2">
        <f>SUM(C53:N53)</f>
        <v>118495.73999999999</v>
      </c>
    </row>
    <row r="54" spans="1:15" s="12" customFormat="1" ht="12.75">
      <c r="A54" s="1" t="s">
        <v>603</v>
      </c>
      <c r="B54" s="2"/>
      <c r="C54" s="2"/>
      <c r="D54" s="2"/>
      <c r="E54" s="2"/>
      <c r="F54" s="2">
        <v>378</v>
      </c>
      <c r="G54" s="2"/>
      <c r="H54" s="2">
        <v>400</v>
      </c>
      <c r="I54" s="2"/>
      <c r="J54" s="2">
        <v>240</v>
      </c>
      <c r="K54" s="2"/>
      <c r="L54" s="2"/>
      <c r="M54" s="2"/>
      <c r="N54" s="1"/>
      <c r="O54" s="2">
        <f>SUM(F54:N54)</f>
        <v>1018</v>
      </c>
    </row>
    <row r="55" spans="1:15" ht="12.75">
      <c r="A55" s="1" t="s">
        <v>527</v>
      </c>
      <c r="B55" s="1"/>
      <c r="C55" s="1"/>
      <c r="D55" s="1"/>
      <c r="E55" s="1"/>
      <c r="F55" s="1">
        <v>3675</v>
      </c>
      <c r="G55" s="1">
        <v>1513.5</v>
      </c>
      <c r="H55" s="1">
        <v>600</v>
      </c>
      <c r="I55" s="1"/>
      <c r="J55" s="1">
        <v>140</v>
      </c>
      <c r="K55" s="1"/>
      <c r="L55" s="1"/>
      <c r="M55" s="1"/>
      <c r="N55" s="1"/>
      <c r="O55" s="1">
        <f>SUM(F55:N55)</f>
        <v>5928.5</v>
      </c>
    </row>
    <row r="56" spans="1:15" ht="12.75">
      <c r="A56" s="1"/>
      <c r="B56" s="62" t="s">
        <v>477</v>
      </c>
      <c r="C56" s="63"/>
      <c r="D56" s="63"/>
      <c r="E56" s="63"/>
      <c r="F56" s="64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</sheetData>
  <sheetProtection/>
  <mergeCells count="1">
    <mergeCell ref="B56:F56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4"/>
  <sheetViews>
    <sheetView zoomScale="112" zoomScaleNormal="112" zoomScalePageLayoutView="0" workbookViewId="0" topLeftCell="A1">
      <pane xSplit="4" ySplit="16" topLeftCell="F34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P42" sqref="P42"/>
    </sheetView>
  </sheetViews>
  <sheetFormatPr defaultColWidth="9.00390625" defaultRowHeight="12.75"/>
  <cols>
    <col min="1" max="1" width="34.375" style="14" customWidth="1"/>
    <col min="2" max="2" width="13.25390625" style="14" customWidth="1"/>
    <col min="3" max="3" width="7.25390625" style="14" customWidth="1"/>
    <col min="4" max="4" width="8.75390625" style="14" customWidth="1"/>
    <col min="5" max="6" width="8.625" style="14" customWidth="1"/>
    <col min="7" max="7" width="8.375" style="14" customWidth="1"/>
    <col min="8" max="8" width="9.25390625" style="14" bestFit="1" customWidth="1"/>
    <col min="9" max="9" width="7.25390625" style="14" customWidth="1"/>
    <col min="10" max="15" width="9.25390625" style="14" bestFit="1" customWidth="1"/>
    <col min="16" max="16" width="9.375" style="14" bestFit="1" customWidth="1"/>
    <col min="17" max="16384" width="9.125" style="14" customWidth="1"/>
  </cols>
  <sheetData>
    <row r="1" spans="1:16" s="12" customFormat="1" ht="12.75">
      <c r="A1" s="2" t="s">
        <v>422</v>
      </c>
      <c r="B1" s="2">
        <v>1910.2</v>
      </c>
      <c r="C1" s="2"/>
      <c r="D1" s="2"/>
      <c r="E1" s="2"/>
      <c r="F1" s="2"/>
      <c r="G1" s="2"/>
      <c r="H1" s="2"/>
      <c r="I1" s="2"/>
      <c r="J1" s="2"/>
      <c r="K1" s="2" t="s">
        <v>444</v>
      </c>
      <c r="L1" s="2"/>
      <c r="M1" s="2"/>
      <c r="N1" s="2"/>
      <c r="O1" s="2"/>
      <c r="P1" s="2">
        <v>-76121.85</v>
      </c>
    </row>
    <row r="2" spans="1:16" ht="12.75">
      <c r="A2" s="1" t="s">
        <v>421</v>
      </c>
      <c r="B2" s="1">
        <f>PRODUCT(B1,11.2)</f>
        <v>21394.239999999998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2" customFormat="1" ht="12.75">
      <c r="A3" s="2" t="s">
        <v>409</v>
      </c>
      <c r="B3" s="2" t="s">
        <v>410</v>
      </c>
      <c r="C3" s="2" t="s">
        <v>434</v>
      </c>
      <c r="D3" s="2" t="s">
        <v>438</v>
      </c>
      <c r="E3" s="2" t="s">
        <v>437</v>
      </c>
      <c r="F3" s="2" t="s">
        <v>436</v>
      </c>
      <c r="G3" s="2" t="s">
        <v>413</v>
      </c>
      <c r="H3" s="2" t="s">
        <v>414</v>
      </c>
      <c r="I3" s="2" t="s">
        <v>416</v>
      </c>
      <c r="J3" s="2" t="s">
        <v>417</v>
      </c>
      <c r="K3" s="2" t="s">
        <v>423</v>
      </c>
      <c r="L3" s="2" t="s">
        <v>424</v>
      </c>
      <c r="M3" s="2" t="s">
        <v>425</v>
      </c>
      <c r="N3" s="2" t="s">
        <v>426</v>
      </c>
      <c r="O3" s="2" t="s">
        <v>434</v>
      </c>
      <c r="P3" s="2" t="s">
        <v>427</v>
      </c>
    </row>
    <row r="4" spans="1:16" ht="12.75">
      <c r="A4" s="1" t="s">
        <v>411</v>
      </c>
      <c r="B4" s="1">
        <v>1.57</v>
      </c>
      <c r="C4" s="1">
        <f>B4*B1</f>
        <v>2999.014</v>
      </c>
      <c r="D4" s="1">
        <f>B4*B1</f>
        <v>2999.014</v>
      </c>
      <c r="E4" s="1">
        <f>B4*B1</f>
        <v>2999.014</v>
      </c>
      <c r="F4" s="1">
        <f>B4*B1</f>
        <v>2999.014</v>
      </c>
      <c r="G4" s="1">
        <f>B4*B1</f>
        <v>2999.014</v>
      </c>
      <c r="H4" s="1">
        <f>B4*B1</f>
        <v>2999.014</v>
      </c>
      <c r="I4" s="1">
        <v>2999.01</v>
      </c>
      <c r="J4" s="1">
        <v>2999.01</v>
      </c>
      <c r="K4" s="1"/>
      <c r="L4" s="1"/>
      <c r="M4" s="1"/>
      <c r="N4" s="1"/>
      <c r="O4" s="1"/>
      <c r="P4" s="1">
        <f>SUM(C4:O4)</f>
        <v>23992.104</v>
      </c>
    </row>
    <row r="5" spans="1:16" ht="12.75">
      <c r="A5" s="1" t="s">
        <v>451</v>
      </c>
      <c r="B5" s="1">
        <v>1.6</v>
      </c>
      <c r="C5" s="1">
        <f>B5*B1</f>
        <v>3056.32</v>
      </c>
      <c r="D5" s="1">
        <f>B5*B1</f>
        <v>3056.32</v>
      </c>
      <c r="E5" s="1">
        <f>B5*B1</f>
        <v>3056.32</v>
      </c>
      <c r="F5" s="1">
        <f>B5*B1</f>
        <v>3056.32</v>
      </c>
      <c r="G5" s="1">
        <f>B5*B1</f>
        <v>3056.32</v>
      </c>
      <c r="H5" s="1">
        <f>B5*B1</f>
        <v>3056.32</v>
      </c>
      <c r="I5" s="1">
        <v>3056.32</v>
      </c>
      <c r="J5" s="1">
        <v>3056.32</v>
      </c>
      <c r="K5" s="1"/>
      <c r="L5" s="1"/>
      <c r="M5" s="1"/>
      <c r="N5" s="1"/>
      <c r="O5" s="1"/>
      <c r="P5" s="1">
        <f>SUM(C5:O5)</f>
        <v>24450.56</v>
      </c>
    </row>
    <row r="6" spans="1:16" ht="12.75">
      <c r="A6" s="1" t="s">
        <v>412</v>
      </c>
      <c r="B6" s="1">
        <v>1.6</v>
      </c>
      <c r="C6" s="1">
        <f>B6*B1</f>
        <v>3056.32</v>
      </c>
      <c r="D6" s="1">
        <f>B6*B1</f>
        <v>3056.32</v>
      </c>
      <c r="E6" s="1">
        <f>B6*B1</f>
        <v>3056.32</v>
      </c>
      <c r="F6" s="1">
        <f>B6*B1</f>
        <v>3056.32</v>
      </c>
      <c r="G6" s="1">
        <f>B6*B1</f>
        <v>3056.32</v>
      </c>
      <c r="H6" s="1">
        <f>B6*B1</f>
        <v>3056.32</v>
      </c>
      <c r="I6" s="1">
        <v>3056.32</v>
      </c>
      <c r="J6" s="1">
        <v>3056.32</v>
      </c>
      <c r="K6" s="1"/>
      <c r="L6" s="1"/>
      <c r="M6" s="1"/>
      <c r="N6" s="1"/>
      <c r="O6" s="1"/>
      <c r="P6" s="1">
        <f>SUM(C6:O6)</f>
        <v>24450.56</v>
      </c>
    </row>
    <row r="7" spans="1:16" ht="12.75">
      <c r="A7" s="1" t="s">
        <v>491</v>
      </c>
      <c r="B7" s="1">
        <v>0.44</v>
      </c>
      <c r="C7" s="1">
        <v>840.49</v>
      </c>
      <c r="D7" s="3">
        <f>B7*B1</f>
        <v>840.488</v>
      </c>
      <c r="E7" s="1">
        <f>B7*B1</f>
        <v>840.488</v>
      </c>
      <c r="F7" s="1">
        <f>B7*B1</f>
        <v>840.488</v>
      </c>
      <c r="G7" s="1">
        <f>B7*B1</f>
        <v>840.488</v>
      </c>
      <c r="H7" s="1">
        <f>B7*B1</f>
        <v>840.488</v>
      </c>
      <c r="I7" s="1">
        <v>840.49</v>
      </c>
      <c r="J7" s="1">
        <v>840.49</v>
      </c>
      <c r="K7" s="1"/>
      <c r="L7" s="1"/>
      <c r="M7" s="1"/>
      <c r="N7" s="1"/>
      <c r="O7" s="1"/>
      <c r="P7" s="1">
        <f>SUM(C7:O7)</f>
        <v>6723.910000000001</v>
      </c>
    </row>
    <row r="8" spans="1:16" ht="12.75">
      <c r="A8" s="1" t="s">
        <v>435</v>
      </c>
      <c r="B8" s="1">
        <v>0.66</v>
      </c>
      <c r="C8" s="1">
        <v>1260.73</v>
      </c>
      <c r="D8" s="1">
        <v>1260.73</v>
      </c>
      <c r="E8" s="1">
        <v>1146.12</v>
      </c>
      <c r="F8" s="1">
        <v>1146.12</v>
      </c>
      <c r="G8" s="1">
        <v>1260.73</v>
      </c>
      <c r="H8" s="1">
        <f>B8*B1</f>
        <v>1260.7320000000002</v>
      </c>
      <c r="I8" s="1">
        <v>1260.73</v>
      </c>
      <c r="J8" s="1">
        <v>1260.73</v>
      </c>
      <c r="K8" s="1"/>
      <c r="L8" s="1"/>
      <c r="M8" s="1"/>
      <c r="N8" s="1"/>
      <c r="O8" s="1"/>
      <c r="P8" s="1">
        <f aca="true" t="shared" si="0" ref="P8:P37">SUM(C8:O8)</f>
        <v>9856.622</v>
      </c>
    </row>
    <row r="9" spans="1:16" ht="12.75">
      <c r="A9" s="3" t="s">
        <v>253</v>
      </c>
      <c r="B9" s="1"/>
      <c r="C9" s="1">
        <v>2712</v>
      </c>
      <c r="D9" s="1">
        <v>2712</v>
      </c>
      <c r="E9" s="1">
        <v>2712</v>
      </c>
      <c r="F9" s="1">
        <v>2712</v>
      </c>
      <c r="G9" s="1">
        <v>2712</v>
      </c>
      <c r="H9" s="1">
        <v>2712</v>
      </c>
      <c r="I9" s="1">
        <v>2712</v>
      </c>
      <c r="J9" s="1">
        <v>2712</v>
      </c>
      <c r="K9" s="1"/>
      <c r="L9" s="1"/>
      <c r="M9" s="1"/>
      <c r="N9" s="1"/>
      <c r="O9" s="1"/>
      <c r="P9" s="1">
        <f t="shared" si="0"/>
        <v>21696</v>
      </c>
    </row>
    <row r="10" spans="1:16" ht="12.75">
      <c r="A10" s="3" t="s">
        <v>478</v>
      </c>
      <c r="B10" s="1"/>
      <c r="C10" s="1">
        <v>2712</v>
      </c>
      <c r="D10" s="1">
        <v>2712</v>
      </c>
      <c r="E10" s="1">
        <v>2712</v>
      </c>
      <c r="F10" s="1">
        <v>2712</v>
      </c>
      <c r="G10" s="1">
        <v>2712</v>
      </c>
      <c r="H10" s="1">
        <v>2712</v>
      </c>
      <c r="I10" s="1">
        <v>2712</v>
      </c>
      <c r="J10" s="1">
        <v>2712</v>
      </c>
      <c r="K10" s="1"/>
      <c r="L10" s="1"/>
      <c r="M10" s="1"/>
      <c r="N10" s="1"/>
      <c r="O10" s="1"/>
      <c r="P10" s="1">
        <f t="shared" si="0"/>
        <v>21696</v>
      </c>
    </row>
    <row r="11" spans="1:16" ht="12.75">
      <c r="A11" s="1" t="s">
        <v>278</v>
      </c>
      <c r="B11" s="1"/>
      <c r="C11" s="1">
        <v>500</v>
      </c>
      <c r="D11" s="1">
        <v>500</v>
      </c>
      <c r="E11" s="1">
        <v>500</v>
      </c>
      <c r="F11" s="1">
        <v>500</v>
      </c>
      <c r="G11" s="1">
        <v>500</v>
      </c>
      <c r="H11" s="1">
        <v>500</v>
      </c>
      <c r="I11" s="1">
        <v>500</v>
      </c>
      <c r="J11" s="1">
        <v>500</v>
      </c>
      <c r="K11" s="1"/>
      <c r="L11" s="1"/>
      <c r="M11" s="1"/>
      <c r="N11" s="1"/>
      <c r="O11" s="1"/>
      <c r="P11" s="1">
        <f t="shared" si="0"/>
        <v>4000</v>
      </c>
    </row>
    <row r="12" spans="1:16" ht="12.75">
      <c r="A12" s="1" t="s">
        <v>429</v>
      </c>
      <c r="B12" s="1"/>
      <c r="C12" s="1">
        <v>87.87</v>
      </c>
      <c r="D12" s="1">
        <v>87.87</v>
      </c>
      <c r="E12" s="1">
        <v>87.87</v>
      </c>
      <c r="F12" s="1">
        <v>87.87</v>
      </c>
      <c r="G12" s="1">
        <v>87.87</v>
      </c>
      <c r="H12" s="1">
        <v>61.13</v>
      </c>
      <c r="I12" s="1">
        <v>276.98</v>
      </c>
      <c r="J12" s="1">
        <v>276.98</v>
      </c>
      <c r="K12" s="1"/>
      <c r="L12" s="1"/>
      <c r="M12" s="1"/>
      <c r="N12" s="1"/>
      <c r="O12" s="1"/>
      <c r="P12" s="1">
        <f t="shared" si="0"/>
        <v>1054.44</v>
      </c>
    </row>
    <row r="13" spans="1:16" ht="22.5">
      <c r="A13" s="3" t="s">
        <v>498</v>
      </c>
      <c r="B13" s="1"/>
      <c r="C13" s="1"/>
      <c r="D13" s="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 t="shared" si="0"/>
        <v>0</v>
      </c>
    </row>
    <row r="14" spans="1:16" ht="12.75">
      <c r="A14" s="3" t="s">
        <v>508</v>
      </c>
      <c r="B14" s="1"/>
      <c r="C14" s="1"/>
      <c r="D14" s="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si="0"/>
        <v>0</v>
      </c>
    </row>
    <row r="15" spans="1:16" ht="22.5">
      <c r="A15" s="3" t="s">
        <v>732</v>
      </c>
      <c r="B15" s="1"/>
      <c r="C15" s="1"/>
      <c r="D15" s="3"/>
      <c r="E15" s="1"/>
      <c r="F15" s="1">
        <v>4314.64</v>
      </c>
      <c r="G15" s="1"/>
      <c r="H15" s="1"/>
      <c r="I15" s="1"/>
      <c r="J15" s="1"/>
      <c r="K15" s="1"/>
      <c r="L15" s="1"/>
      <c r="M15" s="1"/>
      <c r="N15" s="1"/>
      <c r="O15" s="1"/>
      <c r="P15" s="1">
        <v>4314.64</v>
      </c>
    </row>
    <row r="16" spans="1:16" ht="12.75">
      <c r="A16" s="3" t="s">
        <v>490</v>
      </c>
      <c r="B16" s="1"/>
      <c r="C16" s="1"/>
      <c r="D16" s="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f t="shared" si="0"/>
        <v>0</v>
      </c>
    </row>
    <row r="17" spans="1:16" ht="12.75">
      <c r="A17" s="3" t="s">
        <v>226</v>
      </c>
      <c r="B17" s="1"/>
      <c r="C17" s="1"/>
      <c r="D17" s="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si="0"/>
        <v>0</v>
      </c>
    </row>
    <row r="18" spans="1:16" ht="13.5" customHeight="1">
      <c r="A18" s="3" t="s">
        <v>535</v>
      </c>
      <c r="B18" s="1"/>
      <c r="C18" s="1"/>
      <c r="D18" s="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f t="shared" si="0"/>
        <v>0</v>
      </c>
    </row>
    <row r="19" spans="1:16" ht="12.75">
      <c r="A19" s="3" t="s">
        <v>544</v>
      </c>
      <c r="B19" s="1"/>
      <c r="C19" s="1"/>
      <c r="D19" s="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f t="shared" si="0"/>
        <v>0</v>
      </c>
    </row>
    <row r="20" spans="1:16" ht="12.75" customHeight="1">
      <c r="A20" s="3" t="s">
        <v>504</v>
      </c>
      <c r="B20" s="1"/>
      <c r="C20" s="1"/>
      <c r="D20" s="3"/>
      <c r="E20" s="1"/>
      <c r="F20" s="1"/>
      <c r="G20" s="1">
        <v>11794</v>
      </c>
      <c r="H20" s="1"/>
      <c r="I20" s="1"/>
      <c r="J20" s="1"/>
      <c r="K20" s="1"/>
      <c r="L20" s="1"/>
      <c r="M20" s="1"/>
      <c r="N20" s="1"/>
      <c r="O20" s="1"/>
      <c r="P20" s="1">
        <f t="shared" si="0"/>
        <v>11794</v>
      </c>
    </row>
    <row r="21" spans="1:16" ht="12.75">
      <c r="A21" s="3" t="s">
        <v>499</v>
      </c>
      <c r="B21" s="1"/>
      <c r="C21" s="1"/>
      <c r="D21" s="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f t="shared" si="0"/>
        <v>0</v>
      </c>
    </row>
    <row r="22" spans="1:16" ht="12.75">
      <c r="A22" s="3" t="s">
        <v>514</v>
      </c>
      <c r="B22" s="1"/>
      <c r="C22" s="1"/>
      <c r="D22" s="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f t="shared" si="0"/>
        <v>0</v>
      </c>
    </row>
    <row r="23" spans="1:16" ht="12.75">
      <c r="A23" s="3" t="s">
        <v>507</v>
      </c>
      <c r="B23" s="1"/>
      <c r="C23" s="1"/>
      <c r="D23" s="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>
        <f t="shared" si="0"/>
        <v>0</v>
      </c>
    </row>
    <row r="24" spans="1:16" ht="12.75">
      <c r="A24" s="3" t="s">
        <v>232</v>
      </c>
      <c r="B24" s="1"/>
      <c r="C24" s="1"/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f t="shared" si="0"/>
        <v>0</v>
      </c>
    </row>
    <row r="25" spans="1:16" ht="12.75">
      <c r="A25" s="3" t="s">
        <v>378</v>
      </c>
      <c r="B25" s="1"/>
      <c r="C25" s="1"/>
      <c r="D25" s="3"/>
      <c r="E25" s="1">
        <v>853.32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>
        <f t="shared" si="0"/>
        <v>853.32</v>
      </c>
    </row>
    <row r="26" spans="1:16" ht="12.75">
      <c r="A26" s="3" t="s">
        <v>662</v>
      </c>
      <c r="B26" s="1"/>
      <c r="C26" s="1"/>
      <c r="D26" s="3"/>
      <c r="E26" s="1"/>
      <c r="F26" s="1">
        <v>750</v>
      </c>
      <c r="G26" s="1"/>
      <c r="H26" s="1"/>
      <c r="I26" s="1"/>
      <c r="J26" s="1"/>
      <c r="K26" s="1"/>
      <c r="L26" s="1"/>
      <c r="M26" s="1"/>
      <c r="N26" s="1"/>
      <c r="O26" s="1"/>
      <c r="P26" s="1">
        <f t="shared" si="0"/>
        <v>750</v>
      </c>
    </row>
    <row r="27" spans="1:16" ht="33.75">
      <c r="A27" s="3" t="s">
        <v>619</v>
      </c>
      <c r="B27" s="1"/>
      <c r="C27" s="1"/>
      <c r="D27" s="1"/>
      <c r="E27" s="1"/>
      <c r="F27" s="1"/>
      <c r="G27" s="1">
        <v>12288.92</v>
      </c>
      <c r="H27" s="1"/>
      <c r="I27" s="1"/>
      <c r="J27" s="1"/>
      <c r="K27" s="1"/>
      <c r="L27" s="1"/>
      <c r="M27" s="1"/>
      <c r="N27" s="1"/>
      <c r="O27" s="1"/>
      <c r="P27" s="1">
        <f t="shared" si="0"/>
        <v>12288.92</v>
      </c>
    </row>
    <row r="28" spans="1:16" ht="12.75">
      <c r="A28" s="3" t="s">
        <v>741</v>
      </c>
      <c r="B28" s="1"/>
      <c r="C28" s="1"/>
      <c r="D28" s="1"/>
      <c r="E28" s="1"/>
      <c r="F28" s="1"/>
      <c r="G28" s="1"/>
      <c r="H28" s="1">
        <v>207.08</v>
      </c>
      <c r="I28" s="1"/>
      <c r="J28" s="1"/>
      <c r="K28" s="1"/>
      <c r="L28" s="1"/>
      <c r="M28" s="1"/>
      <c r="N28" s="1"/>
      <c r="O28" s="1"/>
      <c r="P28" s="1">
        <f t="shared" si="0"/>
        <v>207.08</v>
      </c>
    </row>
    <row r="29" spans="1:16" ht="22.5">
      <c r="A29" s="3" t="s">
        <v>767</v>
      </c>
      <c r="B29" s="1"/>
      <c r="C29" s="1"/>
      <c r="D29" s="1"/>
      <c r="E29" s="1"/>
      <c r="F29" s="1"/>
      <c r="G29" s="1"/>
      <c r="H29" s="1">
        <v>1252.27</v>
      </c>
      <c r="I29" s="1"/>
      <c r="J29" s="1"/>
      <c r="K29" s="1"/>
      <c r="L29" s="1"/>
      <c r="M29" s="1"/>
      <c r="N29" s="1"/>
      <c r="O29" s="1"/>
      <c r="P29" s="1">
        <v>1252.27</v>
      </c>
    </row>
    <row r="30" spans="1:16" ht="22.5">
      <c r="A30" s="3" t="s">
        <v>749</v>
      </c>
      <c r="B30" s="1"/>
      <c r="C30" s="1"/>
      <c r="D30" s="1"/>
      <c r="E30" s="1"/>
      <c r="F30" s="1"/>
      <c r="G30" s="1"/>
      <c r="H30" s="1">
        <v>5187.96</v>
      </c>
      <c r="I30" s="1"/>
      <c r="J30" s="1"/>
      <c r="K30" s="1"/>
      <c r="L30" s="1"/>
      <c r="M30" s="1"/>
      <c r="N30" s="1"/>
      <c r="O30" s="1"/>
      <c r="P30" s="1">
        <v>5187.96</v>
      </c>
    </row>
    <row r="31" spans="1:16" ht="12.75">
      <c r="A31" s="3" t="s">
        <v>700</v>
      </c>
      <c r="B31" s="1"/>
      <c r="C31" s="1"/>
      <c r="D31" s="1"/>
      <c r="E31" s="1"/>
      <c r="F31" s="1">
        <v>414.16</v>
      </c>
      <c r="G31" s="1"/>
      <c r="H31" s="1"/>
      <c r="I31" s="1"/>
      <c r="J31" s="1"/>
      <c r="K31" s="1"/>
      <c r="L31" s="1"/>
      <c r="M31" s="1"/>
      <c r="N31" s="1"/>
      <c r="O31" s="1"/>
      <c r="P31" s="1">
        <v>414.16</v>
      </c>
    </row>
    <row r="32" spans="1:16" ht="12.75">
      <c r="A32" s="3" t="s">
        <v>665</v>
      </c>
      <c r="B32" s="1"/>
      <c r="C32" s="1"/>
      <c r="D32" s="1"/>
      <c r="E32" s="1"/>
      <c r="F32" s="1">
        <v>34600</v>
      </c>
      <c r="G32" s="1"/>
      <c r="H32" s="1"/>
      <c r="I32" s="1"/>
      <c r="J32" s="1"/>
      <c r="K32" s="1"/>
      <c r="L32" s="1"/>
      <c r="M32" s="1"/>
      <c r="N32" s="1"/>
      <c r="O32" s="1"/>
      <c r="P32" s="1">
        <f>SUM(C32:O32)</f>
        <v>34600</v>
      </c>
    </row>
    <row r="33" spans="1:16" ht="12.75">
      <c r="A33" s="3" t="s">
        <v>86</v>
      </c>
      <c r="B33" s="1"/>
      <c r="C33" s="1"/>
      <c r="D33" s="1"/>
      <c r="E33" s="1"/>
      <c r="F33" s="1"/>
      <c r="G33" s="1"/>
      <c r="H33" s="1"/>
      <c r="I33" s="1"/>
      <c r="J33" s="1">
        <v>51300</v>
      </c>
      <c r="K33" s="1"/>
      <c r="L33" s="1"/>
      <c r="M33" s="1"/>
      <c r="N33" s="1"/>
      <c r="O33" s="1"/>
      <c r="P33" s="1">
        <v>51300</v>
      </c>
    </row>
    <row r="34" spans="1:16" ht="22.5">
      <c r="A34" s="3" t="s">
        <v>623</v>
      </c>
      <c r="B34" s="1"/>
      <c r="C34" s="1"/>
      <c r="D34" s="1"/>
      <c r="E34" s="1"/>
      <c r="F34" s="1"/>
      <c r="G34" s="1">
        <v>3483.78</v>
      </c>
      <c r="H34" s="1"/>
      <c r="I34" s="1"/>
      <c r="J34" s="1"/>
      <c r="K34" s="1"/>
      <c r="L34" s="1"/>
      <c r="M34" s="1"/>
      <c r="N34" s="1"/>
      <c r="O34" s="1"/>
      <c r="P34" s="1">
        <f>SUM(C34:K34)</f>
        <v>3483.78</v>
      </c>
    </row>
    <row r="35" spans="1:16" ht="12.75">
      <c r="A35" s="1" t="s">
        <v>415</v>
      </c>
      <c r="B35" s="1"/>
      <c r="C35" s="1">
        <f aca="true" t="shared" si="1" ref="C35:O35">SUM(C4:C25)</f>
        <v>17224.744</v>
      </c>
      <c r="D35" s="1">
        <f t="shared" si="1"/>
        <v>17224.742</v>
      </c>
      <c r="E35" s="1">
        <f t="shared" si="1"/>
        <v>17963.451999999997</v>
      </c>
      <c r="F35" s="1">
        <f t="shared" si="1"/>
        <v>21424.771999999997</v>
      </c>
      <c r="G35" s="1">
        <f t="shared" si="1"/>
        <v>29018.742</v>
      </c>
      <c r="H35" s="1">
        <f t="shared" si="1"/>
        <v>17198.004</v>
      </c>
      <c r="I35" s="1">
        <f t="shared" si="1"/>
        <v>17413.85</v>
      </c>
      <c r="J35" s="1">
        <f t="shared" si="1"/>
        <v>17413.85</v>
      </c>
      <c r="K35" s="1">
        <f t="shared" si="1"/>
        <v>0</v>
      </c>
      <c r="L35" s="1">
        <f t="shared" si="1"/>
        <v>0</v>
      </c>
      <c r="M35" s="1">
        <f t="shared" si="1"/>
        <v>0</v>
      </c>
      <c r="N35" s="1">
        <f t="shared" si="1"/>
        <v>0</v>
      </c>
      <c r="O35" s="1">
        <f t="shared" si="1"/>
        <v>0</v>
      </c>
      <c r="P35" s="1">
        <f>SUM(P4:P34)</f>
        <v>264366.326</v>
      </c>
    </row>
    <row r="36" spans="1:16" ht="12.75">
      <c r="A36" s="61" t="s">
        <v>256</v>
      </c>
      <c r="B36" s="1"/>
      <c r="C36" s="1">
        <v>25538.55</v>
      </c>
      <c r="D36" s="1">
        <v>14615.19</v>
      </c>
      <c r="E36" s="1">
        <v>36326.32</v>
      </c>
      <c r="F36" s="1">
        <v>23547.97</v>
      </c>
      <c r="G36" s="1">
        <v>26024.57</v>
      </c>
      <c r="H36" s="1">
        <v>23450.32</v>
      </c>
      <c r="I36" s="1">
        <v>25180.65</v>
      </c>
      <c r="J36" s="1">
        <v>30601.85</v>
      </c>
      <c r="K36" s="1"/>
      <c r="L36" s="1"/>
      <c r="M36" s="1"/>
      <c r="N36" s="1"/>
      <c r="O36" s="1"/>
      <c r="P36" s="1">
        <f t="shared" si="0"/>
        <v>205285.42</v>
      </c>
    </row>
    <row r="37" spans="1:16" ht="12.75">
      <c r="A37" s="1" t="s">
        <v>486</v>
      </c>
      <c r="B37" s="1"/>
      <c r="C37" s="1">
        <v>7211.53</v>
      </c>
      <c r="D37" s="1">
        <v>7211.53</v>
      </c>
      <c r="E37" s="1">
        <v>7211.53</v>
      </c>
      <c r="F37" s="1">
        <v>7211.53</v>
      </c>
      <c r="G37" s="1">
        <v>7211.53</v>
      </c>
      <c r="H37" s="1">
        <v>7211.53</v>
      </c>
      <c r="I37" s="1">
        <v>7211.53</v>
      </c>
      <c r="J37" s="1">
        <v>7211.53</v>
      </c>
      <c r="K37" s="1"/>
      <c r="L37" s="1"/>
      <c r="M37" s="1"/>
      <c r="N37" s="1"/>
      <c r="O37" s="1"/>
      <c r="P37" s="1">
        <f t="shared" si="0"/>
        <v>57692.24</v>
      </c>
    </row>
    <row r="38" spans="1:16" s="12" customFormat="1" ht="12.75">
      <c r="A38" s="2" t="s">
        <v>420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>
        <f>P36+P37+P39-P35+P1+P40+P41</f>
        <v>-49613.53599999999</v>
      </c>
    </row>
    <row r="39" spans="1:16" ht="12.75">
      <c r="A39" s="1" t="s">
        <v>402</v>
      </c>
      <c r="B39" s="24"/>
      <c r="C39" s="27"/>
      <c r="D39" s="27"/>
      <c r="E39" s="27"/>
      <c r="F39" s="28">
        <f>12525.65+3226.12+986.3</f>
        <v>16738.07</v>
      </c>
      <c r="G39" s="1">
        <f>806.66+986.29</f>
        <v>1792.9499999999998</v>
      </c>
      <c r="H39" s="1">
        <v>806.66</v>
      </c>
      <c r="I39" s="1"/>
      <c r="J39" s="1">
        <v>1612.8</v>
      </c>
      <c r="K39" s="1"/>
      <c r="L39" s="1"/>
      <c r="M39" s="1"/>
      <c r="N39" s="1"/>
      <c r="O39" s="1"/>
      <c r="P39" s="1">
        <f>SUM(C39:O39)</f>
        <v>20950.48</v>
      </c>
    </row>
    <row r="40" spans="1:16" ht="12.75">
      <c r="A40" s="1" t="s">
        <v>603</v>
      </c>
      <c r="B40" s="24"/>
      <c r="C40" s="27"/>
      <c r="D40" s="27"/>
      <c r="E40" s="27"/>
      <c r="F40" s="28">
        <v>378</v>
      </c>
      <c r="G40" s="1"/>
      <c r="H40" s="1">
        <v>400</v>
      </c>
      <c r="I40" s="1"/>
      <c r="J40" s="1">
        <v>240</v>
      </c>
      <c r="K40" s="1"/>
      <c r="L40" s="1"/>
      <c r="M40" s="1"/>
      <c r="N40" s="1"/>
      <c r="O40" s="1"/>
      <c r="P40" s="1">
        <f>SUM(F40:O40)</f>
        <v>1018</v>
      </c>
    </row>
    <row r="41" spans="1:16" ht="12.75">
      <c r="A41" s="1" t="s">
        <v>527</v>
      </c>
      <c r="B41" s="24"/>
      <c r="C41" s="27"/>
      <c r="D41" s="27"/>
      <c r="E41" s="27"/>
      <c r="F41" s="28">
        <v>3675</v>
      </c>
      <c r="G41" s="1">
        <v>1513.5</v>
      </c>
      <c r="H41" s="1">
        <v>600</v>
      </c>
      <c r="I41" s="1"/>
      <c r="J41" s="1">
        <v>140</v>
      </c>
      <c r="K41" s="1"/>
      <c r="L41" s="1"/>
      <c r="M41" s="1"/>
      <c r="N41" s="1"/>
      <c r="O41" s="1"/>
      <c r="P41" s="1">
        <f>SUM(F41:O41)</f>
        <v>5928.5</v>
      </c>
    </row>
    <row r="42" spans="1:16" ht="12.75">
      <c r="A42" s="1"/>
      <c r="B42" s="62" t="s">
        <v>476</v>
      </c>
      <c r="C42" s="63"/>
      <c r="D42" s="63"/>
      <c r="E42" s="63"/>
      <c r="F42" s="64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ht="12.75">
      <c r="G44" s="14" t="s">
        <v>428</v>
      </c>
    </row>
  </sheetData>
  <sheetProtection/>
  <mergeCells count="1">
    <mergeCell ref="B42:F42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pane xSplit="5" ySplit="17" topLeftCell="F18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G8" sqref="G8"/>
    </sheetView>
  </sheetViews>
  <sheetFormatPr defaultColWidth="9.00390625" defaultRowHeight="12.75"/>
  <cols>
    <col min="1" max="1" width="34.375" style="14" customWidth="1"/>
    <col min="2" max="2" width="11.375" style="14" customWidth="1"/>
    <col min="3" max="3" width="7.25390625" style="14" customWidth="1"/>
    <col min="4" max="4" width="8.75390625" style="14" customWidth="1"/>
    <col min="5" max="5" width="7.125" style="14" customWidth="1"/>
    <col min="6" max="6" width="7.25390625" style="14" customWidth="1"/>
    <col min="7" max="7" width="8.375" style="14" customWidth="1"/>
    <col min="8" max="8" width="9.125" style="14" customWidth="1"/>
    <col min="9" max="9" width="7.25390625" style="14" customWidth="1"/>
    <col min="10" max="16384" width="9.125" style="14" customWidth="1"/>
  </cols>
  <sheetData>
    <row r="1" spans="1:16" s="12" customFormat="1" ht="12.75">
      <c r="A1" s="2" t="s">
        <v>422</v>
      </c>
      <c r="B1" s="2">
        <v>3220.2</v>
      </c>
      <c r="C1" s="2"/>
      <c r="D1" s="2"/>
      <c r="E1" s="2"/>
      <c r="F1" s="2"/>
      <c r="G1" s="2"/>
      <c r="H1" s="2"/>
      <c r="I1" s="2"/>
      <c r="J1" s="2"/>
      <c r="K1" s="2" t="s">
        <v>454</v>
      </c>
      <c r="L1" s="2"/>
      <c r="M1" s="2"/>
      <c r="N1" s="2"/>
      <c r="O1" s="2"/>
      <c r="P1" s="2">
        <v>-53383.91</v>
      </c>
    </row>
    <row r="2" spans="1:16" ht="12.75">
      <c r="A2" s="1" t="s">
        <v>421</v>
      </c>
      <c r="B2" s="1">
        <f>PRODUCT(B1,10.65)</f>
        <v>34295.13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2" customFormat="1" ht="12.75">
      <c r="A3" s="2" t="s">
        <v>409</v>
      </c>
      <c r="B3" s="2" t="s">
        <v>410</v>
      </c>
      <c r="C3" s="2" t="s">
        <v>434</v>
      </c>
      <c r="D3" s="2" t="s">
        <v>438</v>
      </c>
      <c r="E3" s="2" t="s">
        <v>437</v>
      </c>
      <c r="F3" s="2" t="s">
        <v>436</v>
      </c>
      <c r="G3" s="2" t="s">
        <v>413</v>
      </c>
      <c r="H3" s="2" t="s">
        <v>414</v>
      </c>
      <c r="I3" s="2" t="s">
        <v>416</v>
      </c>
      <c r="J3" s="2" t="s">
        <v>417</v>
      </c>
      <c r="K3" s="2" t="s">
        <v>423</v>
      </c>
      <c r="L3" s="2" t="s">
        <v>424</v>
      </c>
      <c r="M3" s="2" t="s">
        <v>425</v>
      </c>
      <c r="N3" s="2" t="s">
        <v>426</v>
      </c>
      <c r="O3" s="2" t="s">
        <v>434</v>
      </c>
      <c r="P3" s="2" t="s">
        <v>427</v>
      </c>
    </row>
    <row r="4" spans="1:16" ht="12.75">
      <c r="A4" s="1" t="s">
        <v>411</v>
      </c>
      <c r="B4" s="1">
        <v>1.57</v>
      </c>
      <c r="C4" s="1">
        <f>B4*B1</f>
        <v>5055.714</v>
      </c>
      <c r="D4" s="1">
        <f>B4*B1</f>
        <v>5055.714</v>
      </c>
      <c r="E4" s="1">
        <f>B4*B1</f>
        <v>5055.714</v>
      </c>
      <c r="F4" s="1">
        <f>B4*B1</f>
        <v>5055.714</v>
      </c>
      <c r="G4" s="1">
        <f>B4*B1</f>
        <v>5055.714</v>
      </c>
      <c r="H4" s="1">
        <v>5055.71</v>
      </c>
      <c r="I4" s="1">
        <v>5055.71</v>
      </c>
      <c r="J4" s="1">
        <v>5055.71</v>
      </c>
      <c r="K4" s="1"/>
      <c r="L4" s="1"/>
      <c r="M4" s="1"/>
      <c r="N4" s="1"/>
      <c r="O4" s="1"/>
      <c r="P4" s="1">
        <f aca="true" t="shared" si="0" ref="P4:P42">SUM(C4:O4)</f>
        <v>40445.7</v>
      </c>
    </row>
    <row r="5" spans="1:16" ht="12.75">
      <c r="A5" s="1" t="s">
        <v>451</v>
      </c>
      <c r="B5" s="1">
        <v>1.6</v>
      </c>
      <c r="C5" s="1">
        <f>B5*B1</f>
        <v>5152.32</v>
      </c>
      <c r="D5" s="1">
        <f>B5*B1</f>
        <v>5152.32</v>
      </c>
      <c r="E5" s="1">
        <f>B5*B1</f>
        <v>5152.32</v>
      </c>
      <c r="F5" s="1">
        <f>B5*B1</f>
        <v>5152.32</v>
      </c>
      <c r="G5" s="1">
        <f>B5*B1</f>
        <v>5152.32</v>
      </c>
      <c r="H5" s="1">
        <v>5152.32</v>
      </c>
      <c r="I5" s="1">
        <v>5152.32</v>
      </c>
      <c r="J5" s="1">
        <v>5152.32</v>
      </c>
      <c r="K5" s="1"/>
      <c r="L5" s="1"/>
      <c r="M5" s="1"/>
      <c r="N5" s="1"/>
      <c r="O5" s="1"/>
      <c r="P5" s="1">
        <f t="shared" si="0"/>
        <v>41218.56</v>
      </c>
    </row>
    <row r="6" spans="1:16" ht="12.75">
      <c r="A6" s="1" t="s">
        <v>412</v>
      </c>
      <c r="B6" s="1">
        <v>1.6</v>
      </c>
      <c r="C6" s="1">
        <f>B6*B1</f>
        <v>5152.32</v>
      </c>
      <c r="D6" s="1">
        <f>B6*B1</f>
        <v>5152.32</v>
      </c>
      <c r="E6" s="1">
        <f>B6*B1</f>
        <v>5152.32</v>
      </c>
      <c r="F6" s="1">
        <f>B6*B1</f>
        <v>5152.32</v>
      </c>
      <c r="G6" s="1">
        <f>B6*B1</f>
        <v>5152.32</v>
      </c>
      <c r="H6" s="1">
        <v>5152.32</v>
      </c>
      <c r="I6" s="1">
        <v>5152.32</v>
      </c>
      <c r="J6" s="1">
        <v>5152.32</v>
      </c>
      <c r="K6" s="1"/>
      <c r="L6" s="1"/>
      <c r="M6" s="1"/>
      <c r="N6" s="1"/>
      <c r="O6" s="1"/>
      <c r="P6" s="1">
        <f t="shared" si="0"/>
        <v>41218.56</v>
      </c>
    </row>
    <row r="7" spans="1:16" ht="12.75">
      <c r="A7" s="1" t="s">
        <v>491</v>
      </c>
      <c r="B7" s="1">
        <v>0.44</v>
      </c>
      <c r="C7" s="1">
        <f>B7*B1</f>
        <v>1416.888</v>
      </c>
      <c r="D7" s="1">
        <f>B7*B1</f>
        <v>1416.888</v>
      </c>
      <c r="E7" s="1">
        <f>B7*B1</f>
        <v>1416.888</v>
      </c>
      <c r="F7" s="1">
        <f>B7*B1</f>
        <v>1416.888</v>
      </c>
      <c r="G7" s="1">
        <f>B7*B1</f>
        <v>1416.888</v>
      </c>
      <c r="H7" s="1">
        <v>1416.89</v>
      </c>
      <c r="I7" s="1">
        <v>1416.89</v>
      </c>
      <c r="J7" s="1">
        <v>1416.89</v>
      </c>
      <c r="K7" s="1"/>
      <c r="L7" s="1"/>
      <c r="M7" s="1"/>
      <c r="N7" s="1"/>
      <c r="O7" s="1"/>
      <c r="P7" s="1">
        <f t="shared" si="0"/>
        <v>11335.109999999999</v>
      </c>
    </row>
    <row r="8" spans="1:16" ht="12.75">
      <c r="A8" s="3" t="s">
        <v>253</v>
      </c>
      <c r="B8" s="1"/>
      <c r="C8" s="1">
        <v>2712</v>
      </c>
      <c r="D8" s="1">
        <v>2712</v>
      </c>
      <c r="E8" s="1">
        <v>2712</v>
      </c>
      <c r="F8" s="1">
        <v>2712</v>
      </c>
      <c r="G8" s="1">
        <v>2712</v>
      </c>
      <c r="H8" s="1">
        <v>2712</v>
      </c>
      <c r="I8" s="1">
        <v>2712</v>
      </c>
      <c r="J8" s="1">
        <v>2712</v>
      </c>
      <c r="K8" s="1"/>
      <c r="L8" s="1"/>
      <c r="M8" s="1"/>
      <c r="N8" s="1"/>
      <c r="O8" s="1"/>
      <c r="P8" s="1">
        <f t="shared" si="0"/>
        <v>21696</v>
      </c>
    </row>
    <row r="9" spans="1:16" ht="12.75">
      <c r="A9" s="3" t="s">
        <v>478</v>
      </c>
      <c r="B9" s="1"/>
      <c r="C9" s="1">
        <v>2712</v>
      </c>
      <c r="D9" s="1">
        <v>2712</v>
      </c>
      <c r="E9" s="1">
        <v>2712</v>
      </c>
      <c r="F9" s="1">
        <v>2712</v>
      </c>
      <c r="G9" s="1">
        <v>2712</v>
      </c>
      <c r="H9" s="1">
        <v>2712</v>
      </c>
      <c r="I9" s="1">
        <v>2712</v>
      </c>
      <c r="J9" s="1">
        <v>2712</v>
      </c>
      <c r="K9" s="1"/>
      <c r="L9" s="1"/>
      <c r="M9" s="1"/>
      <c r="N9" s="1"/>
      <c r="O9" s="1"/>
      <c r="P9" s="1">
        <f t="shared" si="0"/>
        <v>21696</v>
      </c>
    </row>
    <row r="10" spans="1:16" ht="12.75">
      <c r="A10" s="3" t="s">
        <v>435</v>
      </c>
      <c r="B10" s="1">
        <v>0.66</v>
      </c>
      <c r="C10" s="1">
        <f>B10*B1</f>
        <v>2125.332</v>
      </c>
      <c r="D10" s="1">
        <v>2125.33</v>
      </c>
      <c r="E10" s="1">
        <v>2125.33</v>
      </c>
      <c r="F10" s="1">
        <v>2125.33</v>
      </c>
      <c r="G10" s="1">
        <v>2125.33</v>
      </c>
      <c r="H10" s="1">
        <v>2125.33</v>
      </c>
      <c r="I10" s="1">
        <v>2125.33</v>
      </c>
      <c r="J10" s="1">
        <v>2125.33</v>
      </c>
      <c r="K10" s="1"/>
      <c r="L10" s="1"/>
      <c r="M10" s="1"/>
      <c r="N10" s="1"/>
      <c r="O10" s="1"/>
      <c r="P10" s="1">
        <f t="shared" si="0"/>
        <v>17002.642</v>
      </c>
    </row>
    <row r="11" spans="1:16" ht="12.75">
      <c r="A11" s="3" t="s">
        <v>429</v>
      </c>
      <c r="B11" s="1"/>
      <c r="C11" s="1">
        <v>148.13</v>
      </c>
      <c r="D11" s="1">
        <v>148.13</v>
      </c>
      <c r="E11" s="1">
        <v>148.13</v>
      </c>
      <c r="F11" s="1">
        <v>148.13</v>
      </c>
      <c r="G11" s="1">
        <v>148.13</v>
      </c>
      <c r="H11" s="1">
        <v>103.05</v>
      </c>
      <c r="I11" s="1">
        <v>466.93</v>
      </c>
      <c r="J11" s="1">
        <v>466.93</v>
      </c>
      <c r="K11" s="1"/>
      <c r="L11" s="1"/>
      <c r="M11" s="1"/>
      <c r="N11" s="1"/>
      <c r="O11" s="1"/>
      <c r="P11" s="1">
        <f t="shared" si="0"/>
        <v>1777.56</v>
      </c>
    </row>
    <row r="12" spans="1:16" ht="12.75">
      <c r="A12" s="1" t="s">
        <v>503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f t="shared" si="0"/>
        <v>0</v>
      </c>
    </row>
    <row r="13" spans="1:16" ht="12.75">
      <c r="A13" s="1" t="s">
        <v>508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 t="shared" si="0"/>
        <v>0</v>
      </c>
    </row>
    <row r="14" spans="1:16" ht="12.75">
      <c r="A14" s="1" t="s">
        <v>490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si="0"/>
        <v>0</v>
      </c>
    </row>
    <row r="15" spans="1:16" ht="12.75">
      <c r="A15" s="1" t="s">
        <v>499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f t="shared" si="0"/>
        <v>0</v>
      </c>
    </row>
    <row r="16" spans="1:16" ht="12.75">
      <c r="A16" s="1" t="s">
        <v>492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f t="shared" si="0"/>
        <v>0</v>
      </c>
    </row>
    <row r="17" spans="1:16" ht="12.75">
      <c r="A17" s="1" t="s">
        <v>507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si="0"/>
        <v>0</v>
      </c>
    </row>
    <row r="18" spans="1:16" ht="22.5">
      <c r="A18" s="3" t="s">
        <v>3</v>
      </c>
      <c r="B18" s="1"/>
      <c r="C18" s="1"/>
      <c r="D18" s="1"/>
      <c r="E18" s="1"/>
      <c r="F18" s="1"/>
      <c r="G18" s="1"/>
      <c r="H18" s="1">
        <v>3000</v>
      </c>
      <c r="I18" s="1"/>
      <c r="J18" s="1"/>
      <c r="K18" s="1"/>
      <c r="L18" s="1"/>
      <c r="M18" s="1"/>
      <c r="N18" s="1"/>
      <c r="O18" s="1"/>
      <c r="P18" s="1">
        <v>3000</v>
      </c>
    </row>
    <row r="19" spans="1:16" ht="12.75">
      <c r="A19" s="3" t="s">
        <v>58</v>
      </c>
      <c r="B19" s="1"/>
      <c r="C19" s="1"/>
      <c r="D19" s="1"/>
      <c r="E19" s="1"/>
      <c r="F19" s="1"/>
      <c r="G19" s="1"/>
      <c r="H19" s="1"/>
      <c r="I19" s="1">
        <v>36738.2</v>
      </c>
      <c r="J19" s="1"/>
      <c r="K19" s="1"/>
      <c r="L19" s="1"/>
      <c r="M19" s="1"/>
      <c r="N19" s="1"/>
      <c r="O19" s="1"/>
      <c r="P19" s="1">
        <v>36738.2</v>
      </c>
    </row>
    <row r="20" spans="1:16" ht="22.5">
      <c r="A20" s="3" t="s">
        <v>498</v>
      </c>
      <c r="B20" s="1"/>
      <c r="C20" s="1"/>
      <c r="D20" s="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 t="shared" si="0"/>
        <v>0</v>
      </c>
    </row>
    <row r="21" spans="1:16" ht="12.75">
      <c r="A21" s="1" t="s">
        <v>226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f t="shared" si="0"/>
        <v>0</v>
      </c>
    </row>
    <row r="22" spans="1:16" ht="12.75">
      <c r="A22" s="1" t="s">
        <v>700</v>
      </c>
      <c r="B22" s="1"/>
      <c r="C22" s="1"/>
      <c r="D22" s="1"/>
      <c r="E22" s="1"/>
      <c r="F22" s="1">
        <v>828.32</v>
      </c>
      <c r="G22" s="1"/>
      <c r="H22" s="1"/>
      <c r="I22" s="1"/>
      <c r="J22" s="1"/>
      <c r="K22" s="1"/>
      <c r="L22" s="1"/>
      <c r="M22" s="1"/>
      <c r="N22" s="1"/>
      <c r="O22" s="1"/>
      <c r="P22" s="1">
        <v>828.32</v>
      </c>
    </row>
    <row r="23" spans="1:16" ht="12.75">
      <c r="A23" s="1" t="s">
        <v>769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22.5">
      <c r="A24" s="3" t="s">
        <v>533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f t="shared" si="0"/>
        <v>0</v>
      </c>
    </row>
    <row r="25" spans="1:16" ht="12.75">
      <c r="A25" s="3" t="s">
        <v>536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>
        <f t="shared" si="0"/>
        <v>0</v>
      </c>
    </row>
    <row r="26" spans="1:16" ht="12.75">
      <c r="A26" s="3" t="s">
        <v>775</v>
      </c>
      <c r="B26" s="1"/>
      <c r="C26" s="1"/>
      <c r="D26" s="1"/>
      <c r="E26" s="1"/>
      <c r="F26" s="1"/>
      <c r="G26" s="1"/>
      <c r="H26" s="1">
        <v>2139.64</v>
      </c>
      <c r="I26" s="1"/>
      <c r="J26" s="1"/>
      <c r="K26" s="1"/>
      <c r="L26" s="1"/>
      <c r="M26" s="1"/>
      <c r="N26" s="1"/>
      <c r="O26" s="1"/>
      <c r="P26" s="1">
        <v>2139.64</v>
      </c>
    </row>
    <row r="27" spans="1:16" ht="12.75">
      <c r="A27" s="3" t="s">
        <v>769</v>
      </c>
      <c r="B27" s="1"/>
      <c r="C27" s="1"/>
      <c r="D27" s="1"/>
      <c r="E27" s="1"/>
      <c r="F27" s="1"/>
      <c r="G27" s="1"/>
      <c r="H27" s="1">
        <v>2493.37</v>
      </c>
      <c r="I27" s="1"/>
      <c r="J27" s="1"/>
      <c r="K27" s="1"/>
      <c r="L27" s="1"/>
      <c r="M27" s="1"/>
      <c r="N27" s="1"/>
      <c r="O27" s="1"/>
      <c r="P27" s="1">
        <v>2493.37</v>
      </c>
    </row>
    <row r="28" spans="1:16" ht="22.5">
      <c r="A28" s="3" t="s">
        <v>523</v>
      </c>
      <c r="B28" s="1"/>
      <c r="C28" s="1"/>
      <c r="D28" s="1"/>
      <c r="E28" s="1"/>
      <c r="F28" s="1"/>
      <c r="G28" s="1">
        <v>12719</v>
      </c>
      <c r="H28" s="1"/>
      <c r="I28" s="1"/>
      <c r="J28" s="1"/>
      <c r="K28" s="1"/>
      <c r="L28" s="1"/>
      <c r="M28" s="1"/>
      <c r="N28" s="1"/>
      <c r="O28" s="1"/>
      <c r="P28" s="1">
        <f t="shared" si="0"/>
        <v>12719</v>
      </c>
    </row>
    <row r="29" spans="1:16" ht="12.75">
      <c r="A29" s="3" t="s">
        <v>226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>
        <f t="shared" si="0"/>
        <v>0</v>
      </c>
    </row>
    <row r="30" spans="1:16" ht="12.75">
      <c r="A30" s="3" t="s">
        <v>300</v>
      </c>
      <c r="B30" s="1"/>
      <c r="C30" s="1"/>
      <c r="D30" s="1"/>
      <c r="E30" s="1"/>
      <c r="F30" s="1">
        <v>302</v>
      </c>
      <c r="G30" s="1"/>
      <c r="H30" s="1"/>
      <c r="I30" s="1"/>
      <c r="J30" s="1"/>
      <c r="K30" s="1"/>
      <c r="L30" s="1"/>
      <c r="M30" s="1"/>
      <c r="N30" s="1"/>
      <c r="O30" s="1"/>
      <c r="P30" s="1">
        <f t="shared" si="0"/>
        <v>302</v>
      </c>
    </row>
    <row r="31" spans="1:16" ht="22.5">
      <c r="A31" s="3" t="s">
        <v>379</v>
      </c>
      <c r="B31" s="1"/>
      <c r="C31" s="1"/>
      <c r="D31" s="1"/>
      <c r="E31" s="1"/>
      <c r="F31" s="1">
        <v>207.08</v>
      </c>
      <c r="G31" s="1"/>
      <c r="H31" s="1"/>
      <c r="I31" s="1"/>
      <c r="J31" s="1"/>
      <c r="K31" s="1"/>
      <c r="L31" s="1"/>
      <c r="M31" s="1"/>
      <c r="N31" s="1"/>
      <c r="O31" s="1"/>
      <c r="P31" s="1">
        <f t="shared" si="0"/>
        <v>207.08</v>
      </c>
    </row>
    <row r="32" spans="1:16" ht="22.5">
      <c r="A32" s="3" t="s">
        <v>380</v>
      </c>
      <c r="B32" s="1"/>
      <c r="C32" s="1"/>
      <c r="D32" s="1">
        <v>1376.32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>
        <f t="shared" si="0"/>
        <v>1376.32</v>
      </c>
    </row>
    <row r="33" spans="1:16" ht="12.75">
      <c r="A33" s="3" t="s">
        <v>381</v>
      </c>
      <c r="B33" s="1"/>
      <c r="C33" s="1"/>
      <c r="D33" s="1">
        <v>310.62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>
        <f t="shared" si="0"/>
        <v>310.62</v>
      </c>
    </row>
    <row r="34" spans="1:16" ht="12.75">
      <c r="A34" s="3" t="s">
        <v>382</v>
      </c>
      <c r="B34" s="1"/>
      <c r="C34" s="1"/>
      <c r="D34" s="1">
        <v>828.32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>
        <f t="shared" si="0"/>
        <v>828.32</v>
      </c>
    </row>
    <row r="35" spans="1:16" ht="12.75">
      <c r="A35" s="3" t="s">
        <v>383</v>
      </c>
      <c r="B35" s="1"/>
      <c r="C35" s="1"/>
      <c r="D35" s="1">
        <v>31062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>
        <f t="shared" si="0"/>
        <v>31062</v>
      </c>
    </row>
    <row r="36" spans="1:16" ht="12.75">
      <c r="A36" s="3" t="s">
        <v>5</v>
      </c>
      <c r="B36" s="1"/>
      <c r="C36" s="1"/>
      <c r="D36" s="1"/>
      <c r="E36" s="1"/>
      <c r="F36" s="1"/>
      <c r="G36" s="1"/>
      <c r="H36" s="1"/>
      <c r="I36" s="1"/>
      <c r="J36" s="1">
        <v>14307.5</v>
      </c>
      <c r="K36" s="1"/>
      <c r="L36" s="1"/>
      <c r="M36" s="1"/>
      <c r="N36" s="1"/>
      <c r="O36" s="1"/>
      <c r="P36" s="1">
        <v>14307.5</v>
      </c>
    </row>
    <row r="37" spans="1:16" ht="12.75">
      <c r="A37" s="3" t="s">
        <v>87</v>
      </c>
      <c r="B37" s="1"/>
      <c r="C37" s="1"/>
      <c r="D37" s="1"/>
      <c r="E37" s="1"/>
      <c r="F37" s="1"/>
      <c r="G37" s="1"/>
      <c r="H37" s="1"/>
      <c r="I37" s="1"/>
      <c r="J37" s="1">
        <v>22796.6</v>
      </c>
      <c r="K37" s="1"/>
      <c r="L37" s="1"/>
      <c r="M37" s="1"/>
      <c r="N37" s="1"/>
      <c r="O37" s="1"/>
      <c r="P37" s="1">
        <v>22796.6</v>
      </c>
    </row>
    <row r="38" spans="1:16" ht="12.75">
      <c r="A38" s="3" t="s">
        <v>90</v>
      </c>
      <c r="B38" s="1"/>
      <c r="C38" s="1"/>
      <c r="D38" s="1"/>
      <c r="E38" s="1"/>
      <c r="F38" s="1"/>
      <c r="G38" s="1"/>
      <c r="H38" s="1"/>
      <c r="I38" s="1"/>
      <c r="J38" s="1">
        <v>5802.76</v>
      </c>
      <c r="K38" s="1"/>
      <c r="L38" s="1"/>
      <c r="M38" s="1"/>
      <c r="N38" s="1"/>
      <c r="O38" s="1"/>
      <c r="P38" s="1">
        <v>5802.76</v>
      </c>
    </row>
    <row r="39" spans="1:16" ht="12.75">
      <c r="A39" s="3" t="s">
        <v>384</v>
      </c>
      <c r="B39" s="1"/>
      <c r="C39" s="1">
        <v>367.08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>
        <f t="shared" si="0"/>
        <v>367.08</v>
      </c>
    </row>
    <row r="40" spans="1:16" ht="12.75">
      <c r="A40" s="3" t="s">
        <v>640</v>
      </c>
      <c r="B40" s="1"/>
      <c r="C40" s="1"/>
      <c r="D40" s="1"/>
      <c r="E40" s="1"/>
      <c r="F40" s="1"/>
      <c r="G40" s="1">
        <v>91.2</v>
      </c>
      <c r="H40" s="1"/>
      <c r="I40" s="1"/>
      <c r="J40" s="1"/>
      <c r="K40" s="1"/>
      <c r="L40" s="1"/>
      <c r="M40" s="1"/>
      <c r="N40" s="1"/>
      <c r="O40" s="1"/>
      <c r="P40" s="1">
        <f>SUM(C40:O40)</f>
        <v>91.2</v>
      </c>
    </row>
    <row r="41" spans="1:16" ht="12.75">
      <c r="A41" s="3" t="s">
        <v>47</v>
      </c>
      <c r="B41" s="1"/>
      <c r="C41" s="1"/>
      <c r="D41" s="1"/>
      <c r="E41" s="1"/>
      <c r="F41" s="1"/>
      <c r="G41" s="1"/>
      <c r="H41" s="1"/>
      <c r="I41" s="1"/>
      <c r="J41" s="1">
        <v>748.63</v>
      </c>
      <c r="K41" s="1"/>
      <c r="L41" s="1"/>
      <c r="M41" s="1"/>
      <c r="N41" s="1"/>
      <c r="O41" s="1"/>
      <c r="P41" s="1">
        <v>748.63</v>
      </c>
    </row>
    <row r="42" spans="1:16" ht="12.75">
      <c r="A42" s="3" t="s">
        <v>323</v>
      </c>
      <c r="B42" s="1"/>
      <c r="C42" s="1">
        <v>414.16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>
        <f t="shared" si="0"/>
        <v>414.16</v>
      </c>
    </row>
    <row r="43" spans="1:16" ht="12.75">
      <c r="A43" s="3" t="s">
        <v>4</v>
      </c>
      <c r="B43" s="1"/>
      <c r="C43" s="1"/>
      <c r="D43" s="1"/>
      <c r="E43" s="1"/>
      <c r="F43" s="1"/>
      <c r="G43" s="1"/>
      <c r="H43" s="1"/>
      <c r="I43" s="1"/>
      <c r="J43" s="1">
        <v>3322.5</v>
      </c>
      <c r="K43" s="1"/>
      <c r="L43" s="1"/>
      <c r="M43" s="1"/>
      <c r="N43" s="1"/>
      <c r="O43" s="1"/>
      <c r="P43" s="1">
        <v>3322.5</v>
      </c>
    </row>
    <row r="44" spans="1:16" ht="12.75">
      <c r="A44" s="3" t="s">
        <v>528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>
        <f>SUM(C44:O44)</f>
        <v>0</v>
      </c>
    </row>
    <row r="45" spans="1:16" ht="12.75">
      <c r="A45" s="1" t="s">
        <v>415</v>
      </c>
      <c r="B45" s="1"/>
      <c r="C45" s="1">
        <f>SUM(C4:C28)</f>
        <v>24474.703999999998</v>
      </c>
      <c r="D45" s="1">
        <f>SUM(D4:D28)</f>
        <v>24474.702</v>
      </c>
      <c r="E45" s="1">
        <f>SUM(E4:E28)</f>
        <v>24474.702</v>
      </c>
      <c r="F45" s="1">
        <f>SUM(F4:F28)</f>
        <v>25303.022</v>
      </c>
      <c r="G45" s="1">
        <f>SUM(G4:G31)</f>
        <v>37193.702000000005</v>
      </c>
      <c r="H45" s="1">
        <f>SUM(H4:H28)</f>
        <v>32062.629999999997</v>
      </c>
      <c r="I45" s="1">
        <f aca="true" t="shared" si="1" ref="I45:N45">SUM(I4:I44)</f>
        <v>61531.7</v>
      </c>
      <c r="J45" s="1">
        <f t="shared" si="1"/>
        <v>71771.49</v>
      </c>
      <c r="K45" s="1">
        <f t="shared" si="1"/>
        <v>0</v>
      </c>
      <c r="L45" s="1">
        <f t="shared" si="1"/>
        <v>0</v>
      </c>
      <c r="M45" s="1">
        <f t="shared" si="1"/>
        <v>0</v>
      </c>
      <c r="N45" s="1">
        <f t="shared" si="1"/>
        <v>0</v>
      </c>
      <c r="O45" s="1">
        <f>SUM(O4:O28)</f>
        <v>0</v>
      </c>
      <c r="P45" s="1">
        <f>SUM(P4:P44)+P50+P51</f>
        <v>352210.762</v>
      </c>
    </row>
    <row r="46" spans="1:16" ht="12.75">
      <c r="A46" s="1" t="s">
        <v>419</v>
      </c>
      <c r="B46" s="1"/>
      <c r="C46" s="1">
        <v>34895.13</v>
      </c>
      <c r="D46" s="1">
        <v>27348.73</v>
      </c>
      <c r="E46" s="1">
        <v>50126.22</v>
      </c>
      <c r="F46" s="1">
        <v>41464.19</v>
      </c>
      <c r="G46" s="1">
        <v>41480.45</v>
      </c>
      <c r="H46" s="1">
        <v>41354.56</v>
      </c>
      <c r="I46" s="1">
        <v>39686.4</v>
      </c>
      <c r="J46" s="1">
        <v>35701.92</v>
      </c>
      <c r="K46" s="1"/>
      <c r="L46" s="1"/>
      <c r="M46" s="1"/>
      <c r="N46" s="1"/>
      <c r="O46" s="1"/>
      <c r="P46" s="1">
        <f>SUM(C46:O46)</f>
        <v>312057.60000000003</v>
      </c>
    </row>
    <row r="47" spans="1:16" s="12" customFormat="1" ht="12.75">
      <c r="A47" s="2" t="s">
        <v>420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>
        <f>P46+P1+P50+P51+P52+P53+P54-P45</f>
        <v>-49494.651999999885</v>
      </c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>
        <f>SUM(C48:O48)</f>
        <v>0</v>
      </c>
    </row>
    <row r="49" spans="1:16" ht="12.75">
      <c r="A49" s="1"/>
      <c r="B49" s="62" t="s">
        <v>483</v>
      </c>
      <c r="C49" s="63"/>
      <c r="D49" s="63"/>
      <c r="E49" s="63"/>
      <c r="F49" s="64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 t="s">
        <v>399</v>
      </c>
      <c r="B50" s="1"/>
      <c r="C50" s="1"/>
      <c r="D50" s="1"/>
      <c r="E50" s="1"/>
      <c r="F50" s="1">
        <v>1114.02</v>
      </c>
      <c r="G50" s="1">
        <v>1669.97</v>
      </c>
      <c r="H50" s="1">
        <v>556.64</v>
      </c>
      <c r="I50" s="1"/>
      <c r="J50" s="1">
        <v>1669.92</v>
      </c>
      <c r="K50" s="1"/>
      <c r="L50" s="1"/>
      <c r="M50" s="1"/>
      <c r="N50" s="1"/>
      <c r="O50" s="1"/>
      <c r="P50" s="1">
        <f>SUM(F50:O50)</f>
        <v>5010.549999999999</v>
      </c>
    </row>
    <row r="51" spans="1:16" ht="12.75">
      <c r="A51" s="1" t="s">
        <v>91</v>
      </c>
      <c r="B51" s="1"/>
      <c r="C51" s="1"/>
      <c r="D51" s="1"/>
      <c r="E51" s="1"/>
      <c r="F51" s="1"/>
      <c r="G51" s="1"/>
      <c r="H51" s="1"/>
      <c r="I51" s="1"/>
      <c r="J51" s="1">
        <v>10954.78</v>
      </c>
      <c r="K51" s="1"/>
      <c r="L51" s="1"/>
      <c r="M51" s="1"/>
      <c r="N51" s="1"/>
      <c r="O51" s="1"/>
      <c r="P51" s="1">
        <f>SUM(D51:O51)</f>
        <v>10954.78</v>
      </c>
    </row>
    <row r="52" spans="1:16" ht="12.75">
      <c r="A52" s="14" t="s">
        <v>604</v>
      </c>
      <c r="F52" s="1">
        <v>378</v>
      </c>
      <c r="G52" s="1"/>
      <c r="H52" s="1">
        <v>400</v>
      </c>
      <c r="I52" s="1"/>
      <c r="J52" s="1">
        <v>240</v>
      </c>
      <c r="K52" s="1"/>
      <c r="L52" s="1"/>
      <c r="M52" s="1"/>
      <c r="N52" s="1"/>
      <c r="O52" s="1"/>
      <c r="P52" s="1">
        <f>SUM(F52:O52)</f>
        <v>1018</v>
      </c>
    </row>
    <row r="53" spans="1:16" ht="12.75">
      <c r="A53" s="14" t="s">
        <v>527</v>
      </c>
      <c r="F53" s="1">
        <v>3675</v>
      </c>
      <c r="G53" s="1">
        <v>1513.5</v>
      </c>
      <c r="H53" s="1">
        <v>600</v>
      </c>
      <c r="I53" s="1"/>
      <c r="J53" s="1">
        <v>140</v>
      </c>
      <c r="K53" s="1"/>
      <c r="L53" s="1"/>
      <c r="M53" s="1"/>
      <c r="N53" s="1"/>
      <c r="O53" s="1"/>
      <c r="P53" s="1">
        <f>SUM(F53:O53)</f>
        <v>5928.5</v>
      </c>
    </row>
    <row r="54" spans="1:16" ht="12.75">
      <c r="A54" s="14" t="s">
        <v>674</v>
      </c>
      <c r="F54" s="1"/>
      <c r="G54" s="1">
        <v>19660.59</v>
      </c>
      <c r="H54" s="1"/>
      <c r="I54" s="1"/>
      <c r="J54" s="1">
        <v>1470</v>
      </c>
      <c r="K54" s="1"/>
      <c r="L54" s="1"/>
      <c r="M54" s="1"/>
      <c r="N54" s="1"/>
      <c r="O54" s="1"/>
      <c r="P54" s="1">
        <f>SUM(C54:O54)</f>
        <v>21130.59</v>
      </c>
    </row>
    <row r="55" spans="6:16" ht="12.75"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</sheetData>
  <sheetProtection/>
  <mergeCells count="1">
    <mergeCell ref="B49:F49"/>
  </mergeCells>
  <printOptions/>
  <pageMargins left="0.75" right="0.75" top="1" bottom="1" header="0.5" footer="0.5"/>
  <pageSetup orientation="landscape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pane xSplit="5" ySplit="17" topLeftCell="F18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P42" sqref="P42"/>
    </sheetView>
  </sheetViews>
  <sheetFormatPr defaultColWidth="9.00390625" defaultRowHeight="12.75"/>
  <cols>
    <col min="1" max="1" width="34.375" style="14" customWidth="1"/>
    <col min="2" max="2" width="11.375" style="14" customWidth="1"/>
    <col min="3" max="3" width="7.25390625" style="14" customWidth="1"/>
    <col min="4" max="4" width="8.75390625" style="14" customWidth="1"/>
    <col min="5" max="5" width="7.125" style="14" customWidth="1"/>
    <col min="6" max="6" width="8.875" style="14" customWidth="1"/>
    <col min="7" max="7" width="8.375" style="14" customWidth="1"/>
    <col min="8" max="8" width="9.125" style="14" customWidth="1"/>
    <col min="9" max="9" width="7.25390625" style="14" customWidth="1"/>
    <col min="10" max="15" width="9.125" style="14" customWidth="1"/>
    <col min="16" max="16" width="10.25390625" style="14" customWidth="1"/>
    <col min="17" max="16384" width="9.125" style="14" customWidth="1"/>
  </cols>
  <sheetData>
    <row r="1" spans="1:16" s="12" customFormat="1" ht="12.75">
      <c r="A1" s="2" t="s">
        <v>450</v>
      </c>
      <c r="B1" s="2">
        <v>1523.2</v>
      </c>
      <c r="C1" s="2"/>
      <c r="D1" s="2"/>
      <c r="E1" s="2"/>
      <c r="F1" s="2"/>
      <c r="G1" s="2"/>
      <c r="H1" s="2"/>
      <c r="I1" s="2"/>
      <c r="J1" s="2"/>
      <c r="K1" s="2" t="s">
        <v>443</v>
      </c>
      <c r="L1" s="2"/>
      <c r="M1" s="2"/>
      <c r="N1" s="2"/>
      <c r="O1" s="2"/>
      <c r="P1" s="2">
        <v>-54563.87</v>
      </c>
    </row>
    <row r="2" spans="1:16" ht="12.75">
      <c r="A2" s="1" t="s">
        <v>421</v>
      </c>
      <c r="B2" s="1">
        <f>PRODUCT(B1,10.65)</f>
        <v>16222.080000000002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2" customFormat="1" ht="12.75">
      <c r="A3" s="2" t="s">
        <v>409</v>
      </c>
      <c r="B3" s="2" t="s">
        <v>410</v>
      </c>
      <c r="C3" s="2" t="s">
        <v>434</v>
      </c>
      <c r="D3" s="2" t="s">
        <v>438</v>
      </c>
      <c r="E3" s="2" t="s">
        <v>437</v>
      </c>
      <c r="F3" s="2" t="s">
        <v>436</v>
      </c>
      <c r="G3" s="2" t="s">
        <v>413</v>
      </c>
      <c r="H3" s="2" t="s">
        <v>414</v>
      </c>
      <c r="I3" s="2" t="s">
        <v>416</v>
      </c>
      <c r="J3" s="2" t="s">
        <v>417</v>
      </c>
      <c r="K3" s="2" t="s">
        <v>423</v>
      </c>
      <c r="L3" s="2" t="s">
        <v>424</v>
      </c>
      <c r="M3" s="2" t="s">
        <v>425</v>
      </c>
      <c r="N3" s="2" t="s">
        <v>426</v>
      </c>
      <c r="O3" s="2" t="s">
        <v>434</v>
      </c>
      <c r="P3" s="2" t="s">
        <v>427</v>
      </c>
    </row>
    <row r="4" spans="1:16" ht="12.75">
      <c r="A4" s="1" t="s">
        <v>411</v>
      </c>
      <c r="B4" s="1">
        <v>1.57</v>
      </c>
      <c r="C4" s="1">
        <f>B4*B1</f>
        <v>2391.424</v>
      </c>
      <c r="D4" s="1">
        <f>B4*B1</f>
        <v>2391.424</v>
      </c>
      <c r="E4" s="1">
        <f>B4*B1</f>
        <v>2391.424</v>
      </c>
      <c r="F4" s="1">
        <f>B4*B1</f>
        <v>2391.424</v>
      </c>
      <c r="G4" s="1">
        <f>B4*B1</f>
        <v>2391.424</v>
      </c>
      <c r="H4" s="1">
        <v>2391.42</v>
      </c>
      <c r="I4" s="1">
        <v>2391.42</v>
      </c>
      <c r="J4" s="1">
        <v>2391.42</v>
      </c>
      <c r="K4" s="1"/>
      <c r="L4" s="1"/>
      <c r="M4" s="1"/>
      <c r="N4" s="1"/>
      <c r="O4" s="1"/>
      <c r="P4" s="1">
        <f aca="true" t="shared" si="0" ref="P4:P11">SUM(C4:O4)</f>
        <v>19131.379999999997</v>
      </c>
    </row>
    <row r="5" spans="1:16" ht="12.75">
      <c r="A5" s="1" t="s">
        <v>451</v>
      </c>
      <c r="B5" s="1">
        <v>1.6</v>
      </c>
      <c r="C5" s="1">
        <f>B5*B1</f>
        <v>2437.1200000000003</v>
      </c>
      <c r="D5" s="1">
        <f>B5*B1</f>
        <v>2437.1200000000003</v>
      </c>
      <c r="E5" s="1">
        <f>B5*B1</f>
        <v>2437.1200000000003</v>
      </c>
      <c r="F5" s="1">
        <f>B5*B1</f>
        <v>2437.1200000000003</v>
      </c>
      <c r="G5" s="1">
        <f>B5*B1</f>
        <v>2437.1200000000003</v>
      </c>
      <c r="H5" s="1">
        <v>2437.12</v>
      </c>
      <c r="I5" s="1">
        <v>2437.12</v>
      </c>
      <c r="J5" s="1">
        <v>2437.12</v>
      </c>
      <c r="K5" s="1"/>
      <c r="L5" s="1"/>
      <c r="M5" s="1"/>
      <c r="N5" s="1"/>
      <c r="O5" s="1"/>
      <c r="P5" s="1">
        <f t="shared" si="0"/>
        <v>19496.96</v>
      </c>
    </row>
    <row r="6" spans="1:16" ht="12.75">
      <c r="A6" s="1" t="s">
        <v>412</v>
      </c>
      <c r="B6" s="1">
        <v>1.6</v>
      </c>
      <c r="C6" s="1">
        <f>B6*B1</f>
        <v>2437.1200000000003</v>
      </c>
      <c r="D6" s="1">
        <f>B6*B1</f>
        <v>2437.1200000000003</v>
      </c>
      <c r="E6" s="1">
        <f>B6*B1</f>
        <v>2437.1200000000003</v>
      </c>
      <c r="F6" s="1">
        <f>B6*B1</f>
        <v>2437.1200000000003</v>
      </c>
      <c r="G6" s="1">
        <f>B6*B1</f>
        <v>2437.1200000000003</v>
      </c>
      <c r="H6" s="1">
        <v>2437.12</v>
      </c>
      <c r="I6" s="1">
        <v>2437.12</v>
      </c>
      <c r="J6" s="1">
        <v>2437.12</v>
      </c>
      <c r="K6" s="1"/>
      <c r="L6" s="1"/>
      <c r="M6" s="1"/>
      <c r="N6" s="1"/>
      <c r="O6" s="1"/>
      <c r="P6" s="1">
        <f t="shared" si="0"/>
        <v>19496.96</v>
      </c>
    </row>
    <row r="7" spans="1:16" ht="12.75">
      <c r="A7" s="1" t="s">
        <v>491</v>
      </c>
      <c r="B7" s="1">
        <v>0.44</v>
      </c>
      <c r="C7" s="1">
        <f>B7*B1</f>
        <v>670.208</v>
      </c>
      <c r="D7" s="1">
        <f>B7*B1</f>
        <v>670.208</v>
      </c>
      <c r="E7" s="1">
        <f>B7*B1</f>
        <v>670.208</v>
      </c>
      <c r="F7" s="1">
        <f>B7*B1</f>
        <v>670.208</v>
      </c>
      <c r="G7" s="1">
        <f>B7*B1</f>
        <v>670.208</v>
      </c>
      <c r="H7" s="1">
        <v>670.21</v>
      </c>
      <c r="I7" s="1">
        <v>670.21</v>
      </c>
      <c r="J7" s="1">
        <v>670.21</v>
      </c>
      <c r="K7" s="1"/>
      <c r="L7" s="1"/>
      <c r="M7" s="1"/>
      <c r="N7" s="1"/>
      <c r="O7" s="1"/>
      <c r="P7" s="1">
        <f t="shared" si="0"/>
        <v>5361.67</v>
      </c>
    </row>
    <row r="8" spans="1:16" ht="12.75">
      <c r="A8" s="1" t="s">
        <v>435</v>
      </c>
      <c r="B8" s="1">
        <v>0.66</v>
      </c>
      <c r="C8" s="1">
        <v>1005.31</v>
      </c>
      <c r="D8" s="1">
        <v>1005.31</v>
      </c>
      <c r="E8" s="1">
        <v>1005.31</v>
      </c>
      <c r="F8" s="1">
        <v>1005.31</v>
      </c>
      <c r="G8" s="1">
        <v>1005.31</v>
      </c>
      <c r="H8" s="1">
        <v>1005.31</v>
      </c>
      <c r="I8" s="1">
        <v>1005.31</v>
      </c>
      <c r="J8" s="1">
        <v>1005.31</v>
      </c>
      <c r="K8" s="1"/>
      <c r="L8" s="1"/>
      <c r="M8" s="1"/>
      <c r="N8" s="1"/>
      <c r="O8" s="1"/>
      <c r="P8" s="1">
        <f t="shared" si="0"/>
        <v>8042.479999999998</v>
      </c>
    </row>
    <row r="9" spans="1:16" s="36" customFormat="1" ht="12.75">
      <c r="A9" s="38" t="s">
        <v>478</v>
      </c>
      <c r="B9" s="23"/>
      <c r="C9" s="23">
        <v>2445</v>
      </c>
      <c r="D9" s="23">
        <v>2445</v>
      </c>
      <c r="E9" s="23">
        <v>2445</v>
      </c>
      <c r="F9" s="23">
        <v>2445</v>
      </c>
      <c r="G9" s="23">
        <v>2445</v>
      </c>
      <c r="H9" s="23">
        <v>2445</v>
      </c>
      <c r="I9" s="23">
        <v>2445</v>
      </c>
      <c r="J9" s="23">
        <v>2445</v>
      </c>
      <c r="K9" s="23"/>
      <c r="L9" s="23"/>
      <c r="M9" s="23"/>
      <c r="N9" s="23"/>
      <c r="O9" s="23"/>
      <c r="P9" s="23">
        <f t="shared" si="0"/>
        <v>19560</v>
      </c>
    </row>
    <row r="10" spans="1:16" ht="12.75">
      <c r="A10" s="25" t="s">
        <v>253</v>
      </c>
      <c r="B10" s="1"/>
      <c r="C10" s="1">
        <v>2712</v>
      </c>
      <c r="D10" s="1">
        <v>2712</v>
      </c>
      <c r="E10" s="1">
        <v>2712</v>
      </c>
      <c r="F10" s="1">
        <v>2712</v>
      </c>
      <c r="G10" s="1">
        <v>2712</v>
      </c>
      <c r="H10" s="1">
        <v>2712</v>
      </c>
      <c r="I10" s="1">
        <v>2712</v>
      </c>
      <c r="J10" s="1">
        <v>2712</v>
      </c>
      <c r="K10" s="1"/>
      <c r="L10" s="1"/>
      <c r="M10" s="1"/>
      <c r="N10" s="1"/>
      <c r="O10" s="1"/>
      <c r="P10" s="1">
        <f t="shared" si="0"/>
        <v>21696</v>
      </c>
    </row>
    <row r="11" spans="1:16" ht="12.75">
      <c r="A11" s="1" t="s">
        <v>429</v>
      </c>
      <c r="B11" s="1"/>
      <c r="C11" s="1">
        <v>70.07</v>
      </c>
      <c r="D11" s="1">
        <v>70.07</v>
      </c>
      <c r="E11" s="1">
        <v>70.07</v>
      </c>
      <c r="F11" s="1">
        <v>70.07</v>
      </c>
      <c r="G11" s="1">
        <v>70.07</v>
      </c>
      <c r="H11" s="1">
        <v>48.74</v>
      </c>
      <c r="I11" s="1">
        <v>220.86</v>
      </c>
      <c r="J11" s="1">
        <v>220.86</v>
      </c>
      <c r="K11" s="1"/>
      <c r="L11" s="1"/>
      <c r="M11" s="1"/>
      <c r="N11" s="1"/>
      <c r="O11" s="1"/>
      <c r="P11" s="1">
        <f t="shared" si="0"/>
        <v>840.8100000000001</v>
      </c>
    </row>
    <row r="12" spans="1:16" ht="12.75">
      <c r="A12" s="1" t="s">
        <v>490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f aca="true" t="shared" si="1" ref="P12:P35">SUM(C12:O12)</f>
        <v>0</v>
      </c>
    </row>
    <row r="13" spans="1:16" ht="12.75">
      <c r="A13" s="1" t="s">
        <v>497</v>
      </c>
      <c r="B13" s="1"/>
      <c r="C13" s="1"/>
      <c r="D13" s="1"/>
      <c r="E13" s="1"/>
      <c r="F13" s="1"/>
      <c r="G13" s="1">
        <v>12093</v>
      </c>
      <c r="H13" s="1"/>
      <c r="I13" s="1"/>
      <c r="J13" s="1"/>
      <c r="K13" s="1"/>
      <c r="L13" s="1"/>
      <c r="M13" s="1"/>
      <c r="N13" s="1"/>
      <c r="O13" s="1"/>
      <c r="P13" s="1">
        <f t="shared" si="1"/>
        <v>12093</v>
      </c>
    </row>
    <row r="14" spans="1:16" ht="22.5">
      <c r="A14" s="3" t="s">
        <v>498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si="1"/>
        <v>0</v>
      </c>
    </row>
    <row r="15" spans="1:16" ht="12.75">
      <c r="A15" s="3" t="s">
        <v>226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f t="shared" si="1"/>
        <v>0</v>
      </c>
    </row>
    <row r="16" spans="1:16" ht="12.75">
      <c r="A16" s="3" t="s">
        <v>536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f t="shared" si="1"/>
        <v>0</v>
      </c>
    </row>
    <row r="17" spans="1:16" ht="12.75">
      <c r="A17" s="1" t="s">
        <v>499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si="1"/>
        <v>0</v>
      </c>
    </row>
    <row r="18" spans="1:16" ht="12.75">
      <c r="A18" s="1" t="s">
        <v>560</v>
      </c>
      <c r="B18" s="1"/>
      <c r="C18" s="1"/>
      <c r="D18" s="1"/>
      <c r="E18" s="1"/>
      <c r="F18" s="1">
        <v>828.32</v>
      </c>
      <c r="G18" s="1"/>
      <c r="H18" s="1"/>
      <c r="I18" s="1"/>
      <c r="J18" s="1"/>
      <c r="K18" s="1"/>
      <c r="L18" s="1"/>
      <c r="M18" s="1"/>
      <c r="N18" s="1"/>
      <c r="O18" s="1"/>
      <c r="P18" s="1">
        <f t="shared" si="1"/>
        <v>828.32</v>
      </c>
    </row>
    <row r="19" spans="1:16" ht="12.75">
      <c r="A19" s="1" t="s">
        <v>300</v>
      </c>
      <c r="B19" s="1"/>
      <c r="C19" s="1"/>
      <c r="D19" s="1"/>
      <c r="E19" s="1"/>
      <c r="F19" s="1">
        <v>150</v>
      </c>
      <c r="G19" s="1"/>
      <c r="H19" s="1"/>
      <c r="I19" s="1"/>
      <c r="J19" s="1"/>
      <c r="K19" s="1"/>
      <c r="L19" s="1"/>
      <c r="M19" s="1"/>
      <c r="N19" s="1"/>
      <c r="O19" s="1"/>
      <c r="P19" s="1">
        <f t="shared" si="1"/>
        <v>150</v>
      </c>
    </row>
    <row r="20" spans="1:16" ht="12.75">
      <c r="A20" s="1" t="s">
        <v>385</v>
      </c>
      <c r="B20" s="1"/>
      <c r="C20" s="1"/>
      <c r="D20" s="1"/>
      <c r="E20" s="1">
        <v>31549.22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 t="shared" si="1"/>
        <v>31549.22</v>
      </c>
    </row>
    <row r="21" spans="1:16" ht="12.75">
      <c r="A21" s="3" t="s">
        <v>367</v>
      </c>
      <c r="B21" s="1"/>
      <c r="C21" s="1"/>
      <c r="D21" s="1">
        <v>277.08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f t="shared" si="1"/>
        <v>277.08</v>
      </c>
    </row>
    <row r="22" spans="1:16" ht="12.75">
      <c r="A22" s="3" t="s">
        <v>386</v>
      </c>
      <c r="B22" s="1"/>
      <c r="C22" s="1">
        <v>584.16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f t="shared" si="1"/>
        <v>584.16</v>
      </c>
    </row>
    <row r="23" spans="1:16" ht="12.75">
      <c r="A23" s="3" t="s">
        <v>632</v>
      </c>
      <c r="B23" s="1"/>
      <c r="C23" s="1"/>
      <c r="D23" s="1"/>
      <c r="E23" s="1"/>
      <c r="F23" s="1">
        <v>207.08</v>
      </c>
      <c r="G23" s="1"/>
      <c r="H23" s="1"/>
      <c r="I23" s="1"/>
      <c r="J23" s="1"/>
      <c r="K23" s="1"/>
      <c r="L23" s="1"/>
      <c r="M23" s="1"/>
      <c r="N23" s="1"/>
      <c r="O23" s="1"/>
      <c r="P23" s="1">
        <f t="shared" si="1"/>
        <v>207.08</v>
      </c>
    </row>
    <row r="24" spans="1:16" ht="22.5">
      <c r="A24" s="3" t="s">
        <v>387</v>
      </c>
      <c r="B24" s="1"/>
      <c r="C24" s="1">
        <v>1921.32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f t="shared" si="1"/>
        <v>1921.32</v>
      </c>
    </row>
    <row r="25" spans="1:16" ht="22.5">
      <c r="A25" s="3" t="s">
        <v>661</v>
      </c>
      <c r="B25" s="1"/>
      <c r="C25" s="1"/>
      <c r="D25" s="1"/>
      <c r="E25" s="1"/>
      <c r="F25" s="1"/>
      <c r="G25" s="1">
        <v>12822.56</v>
      </c>
      <c r="H25" s="1"/>
      <c r="I25" s="1"/>
      <c r="J25" s="1"/>
      <c r="K25" s="1"/>
      <c r="L25" s="1"/>
      <c r="M25" s="1"/>
      <c r="N25" s="1"/>
      <c r="O25" s="1"/>
      <c r="P25" s="1">
        <f t="shared" si="1"/>
        <v>12822.56</v>
      </c>
    </row>
    <row r="26" spans="1:16" ht="12.75">
      <c r="A26" s="3" t="s">
        <v>748</v>
      </c>
      <c r="B26" s="1"/>
      <c r="C26" s="1"/>
      <c r="D26" s="1"/>
      <c r="E26" s="1"/>
      <c r="F26" s="1"/>
      <c r="G26" s="1"/>
      <c r="H26" s="1">
        <v>1492.48</v>
      </c>
      <c r="I26" s="1"/>
      <c r="J26" s="1"/>
      <c r="K26" s="1"/>
      <c r="L26" s="1"/>
      <c r="M26" s="1"/>
      <c r="N26" s="1"/>
      <c r="O26" s="1"/>
      <c r="P26" s="1">
        <f t="shared" si="1"/>
        <v>1492.48</v>
      </c>
    </row>
    <row r="27" spans="1:16" ht="22.5">
      <c r="A27" s="3" t="s">
        <v>759</v>
      </c>
      <c r="B27" s="1"/>
      <c r="C27" s="1"/>
      <c r="D27" s="1"/>
      <c r="E27" s="1"/>
      <c r="F27" s="1"/>
      <c r="G27" s="1"/>
      <c r="H27" s="1">
        <v>900.32</v>
      </c>
      <c r="I27" s="1"/>
      <c r="J27" s="1"/>
      <c r="K27" s="1"/>
      <c r="L27" s="1"/>
      <c r="M27" s="1"/>
      <c r="N27" s="1"/>
      <c r="O27" s="1"/>
      <c r="P27" s="1">
        <f t="shared" si="1"/>
        <v>900.32</v>
      </c>
    </row>
    <row r="28" spans="1:16" ht="22.5">
      <c r="A28" s="3" t="s">
        <v>768</v>
      </c>
      <c r="B28" s="1"/>
      <c r="C28" s="1"/>
      <c r="D28" s="1"/>
      <c r="E28" s="1"/>
      <c r="F28" s="1"/>
      <c r="G28" s="1"/>
      <c r="H28" s="1">
        <v>1449.32</v>
      </c>
      <c r="I28" s="1"/>
      <c r="J28" s="1"/>
      <c r="K28" s="1"/>
      <c r="L28" s="1"/>
      <c r="M28" s="1"/>
      <c r="N28" s="1"/>
      <c r="O28" s="1"/>
      <c r="P28" s="1">
        <v>1449.32</v>
      </c>
    </row>
    <row r="29" spans="1:16" ht="22.5">
      <c r="A29" s="3" t="s">
        <v>784</v>
      </c>
      <c r="B29" s="1"/>
      <c r="C29" s="1"/>
      <c r="D29" s="1"/>
      <c r="E29" s="1"/>
      <c r="F29" s="1"/>
      <c r="G29" s="1"/>
      <c r="H29" s="1">
        <v>2616.34</v>
      </c>
      <c r="I29" s="1"/>
      <c r="J29" s="1"/>
      <c r="K29" s="1"/>
      <c r="L29" s="1"/>
      <c r="M29" s="1"/>
      <c r="N29" s="1"/>
      <c r="O29" s="1"/>
      <c r="P29" s="1">
        <v>2616.34</v>
      </c>
    </row>
    <row r="30" spans="1:16" ht="22.5">
      <c r="A30" s="3" t="s">
        <v>634</v>
      </c>
      <c r="B30" s="1"/>
      <c r="C30" s="1"/>
      <c r="D30" s="1"/>
      <c r="E30" s="1"/>
      <c r="F30" s="1"/>
      <c r="G30" s="1">
        <v>3850.93</v>
      </c>
      <c r="H30" s="1"/>
      <c r="I30" s="1"/>
      <c r="J30" s="1"/>
      <c r="K30" s="1"/>
      <c r="L30" s="1"/>
      <c r="M30" s="1"/>
      <c r="N30" s="1"/>
      <c r="O30" s="1"/>
      <c r="P30" s="1">
        <f t="shared" si="1"/>
        <v>3850.93</v>
      </c>
    </row>
    <row r="31" spans="1:16" ht="12.75">
      <c r="A31" s="3" t="s">
        <v>639</v>
      </c>
      <c r="B31" s="1"/>
      <c r="C31" s="1"/>
      <c r="D31" s="1"/>
      <c r="E31" s="1"/>
      <c r="F31" s="1"/>
      <c r="G31" s="1">
        <v>60.8</v>
      </c>
      <c r="H31" s="1"/>
      <c r="I31" s="1"/>
      <c r="J31" s="1"/>
      <c r="K31" s="1"/>
      <c r="L31" s="1"/>
      <c r="M31" s="1"/>
      <c r="N31" s="1"/>
      <c r="O31" s="1"/>
      <c r="P31" s="1">
        <f t="shared" si="1"/>
        <v>60.8</v>
      </c>
    </row>
    <row r="32" spans="1:16" ht="12.75">
      <c r="A32" s="3" t="s">
        <v>509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>
        <f t="shared" si="1"/>
        <v>0</v>
      </c>
    </row>
    <row r="33" spans="1:16" ht="12.75">
      <c r="A33" s="3" t="s">
        <v>510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>
        <f t="shared" si="1"/>
        <v>0</v>
      </c>
    </row>
    <row r="34" spans="1:16" ht="12.75">
      <c r="A34" s="3" t="s">
        <v>511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>
        <f t="shared" si="1"/>
        <v>0</v>
      </c>
    </row>
    <row r="35" spans="1:16" ht="12.75">
      <c r="A35" s="3" t="s">
        <v>528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>
        <f t="shared" si="1"/>
        <v>0</v>
      </c>
    </row>
    <row r="36" spans="1:16" ht="12.75">
      <c r="A36" s="1" t="s">
        <v>415</v>
      </c>
      <c r="B36" s="1"/>
      <c r="C36" s="1">
        <f aca="true" t="shared" si="2" ref="C36:P36">SUM(C4:C35)</f>
        <v>16673.732</v>
      </c>
      <c r="D36" s="1">
        <f t="shared" si="2"/>
        <v>14445.332</v>
      </c>
      <c r="E36" s="1">
        <f t="shared" si="2"/>
        <v>45717.472</v>
      </c>
      <c r="F36" s="1">
        <f t="shared" si="2"/>
        <v>15353.652</v>
      </c>
      <c r="G36" s="1">
        <f t="shared" si="2"/>
        <v>42995.542</v>
      </c>
      <c r="H36" s="1">
        <f t="shared" si="2"/>
        <v>20605.38</v>
      </c>
      <c r="I36" s="1">
        <f t="shared" si="2"/>
        <v>14319.04</v>
      </c>
      <c r="J36" s="1">
        <f t="shared" si="2"/>
        <v>14319.04</v>
      </c>
      <c r="K36" s="1">
        <f t="shared" si="2"/>
        <v>0</v>
      </c>
      <c r="L36" s="1">
        <f t="shared" si="2"/>
        <v>0</v>
      </c>
      <c r="M36" s="1">
        <f t="shared" si="2"/>
        <v>0</v>
      </c>
      <c r="N36" s="1">
        <f t="shared" si="2"/>
        <v>0</v>
      </c>
      <c r="O36" s="1">
        <f t="shared" si="2"/>
        <v>0</v>
      </c>
      <c r="P36" s="1">
        <f t="shared" si="2"/>
        <v>184429.18999999997</v>
      </c>
    </row>
    <row r="37" spans="1:16" ht="12.75">
      <c r="A37" s="1" t="s">
        <v>419</v>
      </c>
      <c r="B37" s="1"/>
      <c r="C37" s="1">
        <v>18567.13</v>
      </c>
      <c r="D37" s="1">
        <v>16227.14</v>
      </c>
      <c r="E37" s="1">
        <v>23417.56</v>
      </c>
      <c r="F37" s="1">
        <v>21032.82</v>
      </c>
      <c r="G37" s="1">
        <v>21541.41</v>
      </c>
      <c r="H37" s="1">
        <v>14691.97</v>
      </c>
      <c r="I37" s="1">
        <v>26036.75</v>
      </c>
      <c r="J37" s="1">
        <v>19621.51</v>
      </c>
      <c r="K37" s="1"/>
      <c r="L37" s="1"/>
      <c r="M37" s="1"/>
      <c r="N37" s="1"/>
      <c r="O37" s="1"/>
      <c r="P37" s="1">
        <f>SUM(C37:O37)</f>
        <v>161136.29</v>
      </c>
    </row>
    <row r="38" spans="1:16" s="1" customFormat="1" ht="11.25">
      <c r="A38" s="1" t="s">
        <v>403</v>
      </c>
      <c r="C38" s="1">
        <v>0</v>
      </c>
      <c r="D38" s="1">
        <v>0</v>
      </c>
      <c r="E38" s="1">
        <v>0</v>
      </c>
      <c r="F38" s="1">
        <v>4049.24</v>
      </c>
      <c r="G38" s="1">
        <v>0</v>
      </c>
      <c r="H38" s="1">
        <v>20719.8</v>
      </c>
      <c r="I38" s="1">
        <v>0</v>
      </c>
      <c r="J38" s="1">
        <v>16198.05</v>
      </c>
      <c r="P38" s="1">
        <f>SUM(C38:O38)</f>
        <v>40967.09</v>
      </c>
    </row>
    <row r="39" spans="1:16" s="12" customFormat="1" ht="12.75">
      <c r="A39" s="2" t="s">
        <v>420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0">
        <f>P37+P1+P38+F40+H40+F41+G41+H41-P36</f>
        <v>-30323.179999999964</v>
      </c>
    </row>
    <row r="40" spans="1:16" s="12" customFormat="1" ht="12.75">
      <c r="A40" s="2" t="s">
        <v>603</v>
      </c>
      <c r="B40" s="40"/>
      <c r="C40" s="41"/>
      <c r="D40" s="41"/>
      <c r="E40" s="41"/>
      <c r="F40" s="42">
        <v>378</v>
      </c>
      <c r="G40" s="2"/>
      <c r="H40" s="2">
        <v>400</v>
      </c>
      <c r="I40" s="2"/>
      <c r="J40" s="2">
        <v>240</v>
      </c>
      <c r="K40" s="2"/>
      <c r="L40" s="2"/>
      <c r="M40" s="2"/>
      <c r="N40" s="2"/>
      <c r="O40" s="2"/>
      <c r="P40" s="10">
        <f>SUM(F40:O40)</f>
        <v>1018</v>
      </c>
    </row>
    <row r="41" spans="1:16" s="12" customFormat="1" ht="12.75">
      <c r="A41" s="2" t="s">
        <v>527</v>
      </c>
      <c r="B41" s="15"/>
      <c r="C41" s="16"/>
      <c r="D41" s="16"/>
      <c r="E41" s="16"/>
      <c r="F41" s="17">
        <v>3675</v>
      </c>
      <c r="G41" s="2">
        <v>1513.5</v>
      </c>
      <c r="H41" s="2">
        <v>600</v>
      </c>
      <c r="I41" s="2"/>
      <c r="J41" s="2">
        <v>140</v>
      </c>
      <c r="K41" s="2"/>
      <c r="L41" s="2"/>
      <c r="M41" s="2"/>
      <c r="N41" s="2"/>
      <c r="O41" s="2"/>
      <c r="P41" s="10">
        <f>SUM(F41:O41)</f>
        <v>5928.5</v>
      </c>
    </row>
    <row r="42" spans="1:16" ht="12.75">
      <c r="A42" s="1"/>
      <c r="B42" s="62" t="s">
        <v>476</v>
      </c>
      <c r="C42" s="63"/>
      <c r="D42" s="63"/>
      <c r="E42" s="63"/>
      <c r="F42" s="64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ht="12.75">
      <c r="G44" s="14" t="s">
        <v>428</v>
      </c>
    </row>
  </sheetData>
  <sheetProtection/>
  <mergeCells count="1">
    <mergeCell ref="B42:F42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pane xSplit="5" ySplit="17" topLeftCell="F18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H21" sqref="H21"/>
    </sheetView>
  </sheetViews>
  <sheetFormatPr defaultColWidth="9.00390625" defaultRowHeight="12.75"/>
  <cols>
    <col min="1" max="1" width="34.375" style="14" customWidth="1"/>
    <col min="2" max="2" width="12.875" style="14" customWidth="1"/>
    <col min="3" max="3" width="7.25390625" style="14" customWidth="1"/>
    <col min="4" max="4" width="8.75390625" style="14" customWidth="1"/>
    <col min="5" max="5" width="7.125" style="14" customWidth="1"/>
    <col min="6" max="6" width="7.25390625" style="14" customWidth="1"/>
    <col min="7" max="7" width="8.375" style="14" customWidth="1"/>
    <col min="8" max="8" width="9.125" style="14" customWidth="1"/>
    <col min="9" max="9" width="7.25390625" style="14" customWidth="1"/>
    <col min="10" max="16384" width="9.125" style="14" customWidth="1"/>
  </cols>
  <sheetData>
    <row r="1" spans="1:16" s="12" customFormat="1" ht="12.75">
      <c r="A1" s="2" t="s">
        <v>422</v>
      </c>
      <c r="B1" s="2">
        <v>1475.7</v>
      </c>
      <c r="C1" s="2"/>
      <c r="D1" s="2"/>
      <c r="E1" s="2"/>
      <c r="F1" s="2"/>
      <c r="G1" s="2"/>
      <c r="H1" s="2" t="s">
        <v>418</v>
      </c>
      <c r="I1" s="2"/>
      <c r="J1" s="2"/>
      <c r="K1" s="2" t="s">
        <v>445</v>
      </c>
      <c r="L1" s="2"/>
      <c r="M1" s="2"/>
      <c r="N1" s="2"/>
      <c r="O1" s="2"/>
      <c r="P1" s="2">
        <v>-39645.65</v>
      </c>
    </row>
    <row r="2" spans="1:16" ht="12.75">
      <c r="A2" s="1" t="s">
        <v>421</v>
      </c>
      <c r="B2" s="1">
        <f>PRODUCT(B1,10.65)</f>
        <v>15716.205000000002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2" customFormat="1" ht="12.75">
      <c r="A3" s="2" t="s">
        <v>409</v>
      </c>
      <c r="B3" s="2" t="s">
        <v>410</v>
      </c>
      <c r="C3" s="2" t="s">
        <v>434</v>
      </c>
      <c r="D3" s="2" t="s">
        <v>438</v>
      </c>
      <c r="E3" s="2" t="s">
        <v>437</v>
      </c>
      <c r="F3" s="2" t="s">
        <v>436</v>
      </c>
      <c r="G3" s="2" t="s">
        <v>413</v>
      </c>
      <c r="H3" s="2" t="s">
        <v>414</v>
      </c>
      <c r="I3" s="2" t="s">
        <v>416</v>
      </c>
      <c r="J3" s="2" t="s">
        <v>417</v>
      </c>
      <c r="K3" s="2" t="s">
        <v>423</v>
      </c>
      <c r="L3" s="2" t="s">
        <v>424</v>
      </c>
      <c r="M3" s="2" t="s">
        <v>425</v>
      </c>
      <c r="N3" s="2" t="s">
        <v>426</v>
      </c>
      <c r="O3" s="2" t="s">
        <v>434</v>
      </c>
      <c r="P3" s="2" t="s">
        <v>427</v>
      </c>
    </row>
    <row r="4" spans="1:16" ht="12.75">
      <c r="A4" s="1" t="s">
        <v>411</v>
      </c>
      <c r="B4" s="1">
        <v>1.57</v>
      </c>
      <c r="C4" s="1">
        <f>B4*B1</f>
        <v>2316.849</v>
      </c>
      <c r="D4" s="1">
        <f>B4*B1</f>
        <v>2316.849</v>
      </c>
      <c r="E4" s="1">
        <f>B4*B1</f>
        <v>2316.849</v>
      </c>
      <c r="F4" s="1">
        <v>2316.85</v>
      </c>
      <c r="G4" s="1">
        <v>2316.85</v>
      </c>
      <c r="H4" s="1">
        <v>2316.85</v>
      </c>
      <c r="I4" s="1">
        <v>2316.85</v>
      </c>
      <c r="J4" s="1">
        <v>2316.85</v>
      </c>
      <c r="K4" s="1"/>
      <c r="L4" s="1"/>
      <c r="M4" s="1"/>
      <c r="N4" s="1"/>
      <c r="O4" s="1"/>
      <c r="P4" s="1">
        <f aca="true" t="shared" si="0" ref="P4:P9">SUM(C4:O4)</f>
        <v>18534.797000000002</v>
      </c>
    </row>
    <row r="5" spans="1:16" ht="12.75">
      <c r="A5" s="1" t="s">
        <v>451</v>
      </c>
      <c r="B5" s="1">
        <v>1.6</v>
      </c>
      <c r="C5" s="1">
        <f>B5*B1</f>
        <v>2361.1200000000003</v>
      </c>
      <c r="D5" s="1">
        <f>B5*B1</f>
        <v>2361.1200000000003</v>
      </c>
      <c r="E5" s="1">
        <f>B5*B1</f>
        <v>2361.1200000000003</v>
      </c>
      <c r="F5" s="1">
        <v>2361.12</v>
      </c>
      <c r="G5" s="1">
        <v>2361.12</v>
      </c>
      <c r="H5" s="1">
        <v>2361.12</v>
      </c>
      <c r="I5" s="1">
        <v>2361.12</v>
      </c>
      <c r="J5" s="1">
        <v>2361.12</v>
      </c>
      <c r="K5" s="1"/>
      <c r="L5" s="1"/>
      <c r="M5" s="1"/>
      <c r="N5" s="1"/>
      <c r="O5" s="1"/>
      <c r="P5" s="1">
        <f t="shared" si="0"/>
        <v>18888.959999999995</v>
      </c>
    </row>
    <row r="6" spans="1:16" ht="12.75">
      <c r="A6" s="1" t="s">
        <v>412</v>
      </c>
      <c r="B6" s="1">
        <v>1.6</v>
      </c>
      <c r="C6" s="1">
        <f>B6*B1</f>
        <v>2361.1200000000003</v>
      </c>
      <c r="D6" s="1">
        <f>B6*B1</f>
        <v>2361.1200000000003</v>
      </c>
      <c r="E6" s="1">
        <f>B6*B1</f>
        <v>2361.1200000000003</v>
      </c>
      <c r="F6" s="1">
        <v>2361.12</v>
      </c>
      <c r="G6" s="1">
        <v>2361.12</v>
      </c>
      <c r="H6" s="1">
        <v>2361.12</v>
      </c>
      <c r="I6" s="1">
        <v>2361.12</v>
      </c>
      <c r="J6" s="1">
        <v>2361.12</v>
      </c>
      <c r="K6" s="1"/>
      <c r="L6" s="1"/>
      <c r="M6" s="1"/>
      <c r="N6" s="1"/>
      <c r="O6" s="1"/>
      <c r="P6" s="1">
        <f t="shared" si="0"/>
        <v>18888.959999999995</v>
      </c>
    </row>
    <row r="7" spans="1:16" ht="12.75">
      <c r="A7" s="1" t="s">
        <v>491</v>
      </c>
      <c r="B7" s="1">
        <v>0.44</v>
      </c>
      <c r="C7" s="1">
        <v>649.31</v>
      </c>
      <c r="D7" s="1">
        <v>649.31</v>
      </c>
      <c r="E7" s="1">
        <v>649.31</v>
      </c>
      <c r="F7" s="1">
        <v>649.31</v>
      </c>
      <c r="G7" s="1">
        <v>649.31</v>
      </c>
      <c r="H7" s="1">
        <v>649.31</v>
      </c>
      <c r="I7" s="1">
        <v>649.31</v>
      </c>
      <c r="J7" s="1">
        <v>649.31</v>
      </c>
      <c r="K7" s="1"/>
      <c r="L7" s="1"/>
      <c r="M7" s="1"/>
      <c r="N7" s="1"/>
      <c r="O7" s="1"/>
      <c r="P7" s="1">
        <f t="shared" si="0"/>
        <v>5194.48</v>
      </c>
    </row>
    <row r="8" spans="1:16" ht="12.75">
      <c r="A8" s="1" t="s">
        <v>435</v>
      </c>
      <c r="B8" s="1">
        <v>0.66</v>
      </c>
      <c r="C8" s="1">
        <v>973.96</v>
      </c>
      <c r="D8" s="1">
        <v>973.96</v>
      </c>
      <c r="E8" s="1">
        <v>973.96</v>
      </c>
      <c r="F8" s="1">
        <v>973.96</v>
      </c>
      <c r="G8" s="1">
        <v>973.96</v>
      </c>
      <c r="H8" s="1">
        <v>973.96</v>
      </c>
      <c r="I8" s="1">
        <v>973.96</v>
      </c>
      <c r="J8" s="1">
        <v>973.96</v>
      </c>
      <c r="K8" s="1"/>
      <c r="L8" s="1"/>
      <c r="M8" s="1"/>
      <c r="N8" s="1"/>
      <c r="O8" s="1"/>
      <c r="P8" s="1">
        <f t="shared" si="0"/>
        <v>7791.68</v>
      </c>
    </row>
    <row r="9" spans="1:16" ht="12.75">
      <c r="A9" s="3" t="s">
        <v>480</v>
      </c>
      <c r="B9" s="1"/>
      <c r="C9" s="1">
        <v>67.88</v>
      </c>
      <c r="D9" s="1">
        <v>67.88</v>
      </c>
      <c r="E9" s="1">
        <v>67.88</v>
      </c>
      <c r="F9" s="1">
        <v>67.88</v>
      </c>
      <c r="G9" s="1">
        <v>67.88</v>
      </c>
      <c r="H9" s="1">
        <v>47.22</v>
      </c>
      <c r="I9" s="1">
        <v>213.98</v>
      </c>
      <c r="J9" s="1">
        <v>213.98</v>
      </c>
      <c r="K9" s="1"/>
      <c r="L9" s="1"/>
      <c r="M9" s="1"/>
      <c r="N9" s="1"/>
      <c r="O9" s="1"/>
      <c r="P9" s="1">
        <f t="shared" si="0"/>
        <v>814.58</v>
      </c>
    </row>
    <row r="10" spans="1:16" ht="12.75">
      <c r="A10" s="3" t="s">
        <v>478</v>
      </c>
      <c r="B10" s="1"/>
      <c r="C10" s="1">
        <v>1356</v>
      </c>
      <c r="D10" s="1">
        <v>1356</v>
      </c>
      <c r="E10" s="1">
        <v>1356</v>
      </c>
      <c r="F10" s="1">
        <v>1356</v>
      </c>
      <c r="G10" s="1">
        <v>1356</v>
      </c>
      <c r="H10" s="1">
        <v>1356</v>
      </c>
      <c r="I10" s="1">
        <v>1356</v>
      </c>
      <c r="J10" s="1">
        <v>1356</v>
      </c>
      <c r="K10" s="1"/>
      <c r="L10" s="1"/>
      <c r="M10" s="1"/>
      <c r="N10" s="1"/>
      <c r="O10" s="1"/>
      <c r="P10" s="1">
        <f>SUM(C10:O10)</f>
        <v>10848</v>
      </c>
    </row>
    <row r="11" spans="1:16" ht="22.5">
      <c r="A11" s="3" t="s">
        <v>512</v>
      </c>
      <c r="B11" s="1"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>
        <f>SUM(C11:O11)</f>
        <v>0</v>
      </c>
    </row>
    <row r="12" spans="1:16" ht="22.5">
      <c r="A12" s="3" t="s">
        <v>496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f aca="true" t="shared" si="1" ref="P12:P33">SUM(C12:O12)</f>
        <v>0</v>
      </c>
    </row>
    <row r="13" spans="1:16" ht="33.75">
      <c r="A13" s="3" t="s">
        <v>42</v>
      </c>
      <c r="B13" s="1"/>
      <c r="C13" s="1"/>
      <c r="D13" s="1"/>
      <c r="E13" s="1"/>
      <c r="F13" s="1"/>
      <c r="G13" s="1"/>
      <c r="H13" s="1"/>
      <c r="I13" s="1"/>
      <c r="J13" s="1">
        <v>489.16</v>
      </c>
      <c r="K13" s="1"/>
      <c r="L13" s="1"/>
      <c r="M13" s="1"/>
      <c r="N13" s="1"/>
      <c r="O13" s="1"/>
      <c r="P13" s="1">
        <v>489.16</v>
      </c>
    </row>
    <row r="14" spans="1:16" ht="12.75">
      <c r="A14" s="1" t="s">
        <v>489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si="1"/>
        <v>0</v>
      </c>
    </row>
    <row r="15" spans="1:16" ht="12.75">
      <c r="A15" s="1" t="s">
        <v>490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f t="shared" si="1"/>
        <v>0</v>
      </c>
    </row>
    <row r="16" spans="1:16" ht="12.75">
      <c r="A16" s="1" t="s">
        <v>97</v>
      </c>
      <c r="B16" s="1"/>
      <c r="C16" s="1"/>
      <c r="D16" s="1"/>
      <c r="E16" s="1"/>
      <c r="F16" s="1"/>
      <c r="G16" s="1"/>
      <c r="H16" s="1"/>
      <c r="I16" s="1">
        <v>2504.64</v>
      </c>
      <c r="J16" s="1"/>
      <c r="K16" s="1"/>
      <c r="L16" s="1"/>
      <c r="M16" s="1"/>
      <c r="N16" s="1"/>
      <c r="O16" s="1"/>
      <c r="P16" s="1">
        <v>2504.64</v>
      </c>
    </row>
    <row r="17" spans="1:16" ht="12.75">
      <c r="A17" s="1" t="s">
        <v>499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si="1"/>
        <v>0</v>
      </c>
    </row>
    <row r="18" spans="1:16" ht="12.75">
      <c r="A18" s="1" t="s">
        <v>492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f t="shared" si="1"/>
        <v>0</v>
      </c>
    </row>
    <row r="19" spans="1:16" ht="12.75">
      <c r="A19" s="1" t="s">
        <v>493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f t="shared" si="1"/>
        <v>0</v>
      </c>
    </row>
    <row r="20" spans="1:16" ht="12.75">
      <c r="A20" s="1" t="s">
        <v>494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 t="shared" si="1"/>
        <v>0</v>
      </c>
    </row>
    <row r="21" spans="1:16" ht="12.75">
      <c r="A21" s="1" t="s">
        <v>664</v>
      </c>
      <c r="B21" s="1"/>
      <c r="C21" s="1"/>
      <c r="D21" s="1"/>
      <c r="E21" s="1"/>
      <c r="F21" s="1"/>
      <c r="G21" s="1"/>
      <c r="H21" s="1"/>
      <c r="I21" s="1">
        <v>414.16</v>
      </c>
      <c r="J21" s="1"/>
      <c r="K21" s="1"/>
      <c r="L21" s="1"/>
      <c r="M21" s="1"/>
      <c r="N21" s="1"/>
      <c r="O21" s="1"/>
      <c r="P21" s="1">
        <v>414.16</v>
      </c>
    </row>
    <row r="22" spans="1:16" ht="22.5">
      <c r="A22" s="3" t="s">
        <v>74</v>
      </c>
      <c r="B22" s="1"/>
      <c r="C22" s="1"/>
      <c r="D22" s="1"/>
      <c r="E22" s="1"/>
      <c r="F22" s="1"/>
      <c r="G22" s="1"/>
      <c r="H22" s="1"/>
      <c r="I22" s="1">
        <v>15482</v>
      </c>
      <c r="J22" s="1"/>
      <c r="K22" s="1"/>
      <c r="L22" s="1"/>
      <c r="M22" s="1"/>
      <c r="N22" s="1"/>
      <c r="O22" s="1"/>
      <c r="P22" s="1">
        <v>15482</v>
      </c>
    </row>
    <row r="23" spans="1:16" ht="12.75">
      <c r="A23" s="1" t="s">
        <v>675</v>
      </c>
      <c r="B23" s="1"/>
      <c r="C23" s="1"/>
      <c r="D23" s="1"/>
      <c r="E23" s="1">
        <v>46120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>
        <v>46120</v>
      </c>
    </row>
    <row r="24" spans="1:16" ht="12.75">
      <c r="A24" s="1" t="s">
        <v>632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v>207.08</v>
      </c>
    </row>
    <row r="25" spans="1:16" ht="12.75">
      <c r="A25" s="1" t="s">
        <v>49</v>
      </c>
      <c r="B25" s="1"/>
      <c r="C25" s="1"/>
      <c r="D25" s="1"/>
      <c r="E25" s="1"/>
      <c r="F25" s="1"/>
      <c r="G25" s="1"/>
      <c r="H25" s="1"/>
      <c r="I25" s="1"/>
      <c r="J25" s="1">
        <v>4785.22</v>
      </c>
      <c r="K25" s="1"/>
      <c r="L25" s="1"/>
      <c r="M25" s="1"/>
      <c r="N25" s="1"/>
      <c r="O25" s="1"/>
      <c r="P25" s="1">
        <v>4785.22</v>
      </c>
    </row>
    <row r="26" spans="1:16" ht="12.75">
      <c r="A26" s="1" t="s">
        <v>747</v>
      </c>
      <c r="B26" s="1"/>
      <c r="C26" s="1"/>
      <c r="D26" s="1"/>
      <c r="E26" s="1"/>
      <c r="F26" s="1"/>
      <c r="G26" s="1">
        <v>2465</v>
      </c>
      <c r="H26" s="1">
        <v>515</v>
      </c>
      <c r="I26" s="1"/>
      <c r="J26" s="1"/>
      <c r="K26" s="1"/>
      <c r="L26" s="1"/>
      <c r="M26" s="1"/>
      <c r="N26" s="1"/>
      <c r="O26" s="1"/>
      <c r="P26" s="1">
        <f>SUM(C26:O26)</f>
        <v>2980</v>
      </c>
    </row>
    <row r="27" spans="1:16" ht="22.5">
      <c r="A27" s="3" t="s">
        <v>388</v>
      </c>
      <c r="B27" s="1"/>
      <c r="C27" s="1"/>
      <c r="D27" s="1"/>
      <c r="E27" s="1">
        <v>207.08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>
        <f t="shared" si="1"/>
        <v>207.08</v>
      </c>
    </row>
    <row r="28" spans="1:16" ht="12.75">
      <c r="A28" s="3" t="s">
        <v>389</v>
      </c>
      <c r="B28" s="1"/>
      <c r="C28" s="1"/>
      <c r="D28" s="1"/>
      <c r="E28" s="1">
        <v>207.08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>
        <f t="shared" si="1"/>
        <v>207.08</v>
      </c>
    </row>
    <row r="29" spans="1:16" ht="12.75">
      <c r="A29" s="3" t="s">
        <v>703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>
        <f>SUM(C29:O29)</f>
        <v>0</v>
      </c>
    </row>
    <row r="30" spans="1:16" ht="22.5">
      <c r="A30" s="3" t="s">
        <v>534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>
        <f t="shared" si="1"/>
        <v>0</v>
      </c>
    </row>
    <row r="31" spans="1:16" ht="22.5">
      <c r="A31" s="3" t="s">
        <v>533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>
        <f t="shared" si="1"/>
        <v>0</v>
      </c>
    </row>
    <row r="32" spans="1:16" ht="12.75" customHeight="1">
      <c r="A32" s="3" t="s">
        <v>504</v>
      </c>
      <c r="B32" s="1"/>
      <c r="C32" s="1"/>
      <c r="D32" s="1"/>
      <c r="E32" s="1"/>
      <c r="F32" s="1"/>
      <c r="G32" s="1"/>
      <c r="H32" s="1"/>
      <c r="I32" s="1"/>
      <c r="J32" s="1">
        <v>7262</v>
      </c>
      <c r="K32" s="1"/>
      <c r="L32" s="1"/>
      <c r="M32" s="1"/>
      <c r="N32" s="1"/>
      <c r="O32" s="1"/>
      <c r="P32" s="1">
        <f t="shared" si="1"/>
        <v>7262</v>
      </c>
    </row>
    <row r="33" spans="1:16" ht="12.75">
      <c r="A33" s="3" t="s">
        <v>528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>
        <f t="shared" si="1"/>
        <v>0</v>
      </c>
    </row>
    <row r="34" spans="1:16" ht="12.75">
      <c r="A34" s="1" t="s">
        <v>415</v>
      </c>
      <c r="B34" s="1"/>
      <c r="C34" s="1">
        <f aca="true" t="shared" si="2" ref="C34:K34">SUM(C4:C33)</f>
        <v>10086.239</v>
      </c>
      <c r="D34" s="1">
        <f t="shared" si="2"/>
        <v>10086.239</v>
      </c>
      <c r="E34" s="1">
        <f t="shared" si="2"/>
        <v>56620.399000000005</v>
      </c>
      <c r="F34" s="1">
        <f>SUM(F4:F33)</f>
        <v>10086.24</v>
      </c>
      <c r="G34" s="1">
        <f>SUM(G4:G33)</f>
        <v>12551.24</v>
      </c>
      <c r="H34" s="1">
        <f t="shared" si="2"/>
        <v>10580.58</v>
      </c>
      <c r="I34" s="1">
        <f t="shared" si="2"/>
        <v>28633.14</v>
      </c>
      <c r="J34" s="1">
        <f t="shared" si="2"/>
        <v>22768.72</v>
      </c>
      <c r="K34" s="1">
        <f t="shared" si="2"/>
        <v>0</v>
      </c>
      <c r="L34" s="1">
        <f>SUM(L4:L28)</f>
        <v>0</v>
      </c>
      <c r="M34" s="1">
        <f>SUM(M4:M28)</f>
        <v>0</v>
      </c>
      <c r="N34" s="1">
        <f>SUM(N4:N28)</f>
        <v>0</v>
      </c>
      <c r="O34" s="1">
        <f>SUM(O4:O28)</f>
        <v>0</v>
      </c>
      <c r="P34" s="1">
        <f>SUM(P4:P33)</f>
        <v>161619.87699999995</v>
      </c>
    </row>
    <row r="35" spans="1:16" ht="12.75">
      <c r="A35" s="1" t="s">
        <v>419</v>
      </c>
      <c r="B35" s="1"/>
      <c r="C35" s="1">
        <v>14135.32</v>
      </c>
      <c r="D35" s="1">
        <v>17604.64</v>
      </c>
      <c r="E35" s="1">
        <v>19605.34</v>
      </c>
      <c r="F35" s="1">
        <v>17615.96</v>
      </c>
      <c r="G35" s="1">
        <v>18632.4</v>
      </c>
      <c r="H35" s="1">
        <v>21037.94</v>
      </c>
      <c r="I35" s="1">
        <v>17446.04</v>
      </c>
      <c r="J35" s="1">
        <v>18344.44</v>
      </c>
      <c r="K35" s="1"/>
      <c r="L35" s="1"/>
      <c r="M35" s="1"/>
      <c r="N35" s="1"/>
      <c r="O35" s="1"/>
      <c r="P35" s="1">
        <f>SUM(C35:O35)</f>
        <v>144422.08000000002</v>
      </c>
    </row>
    <row r="36" spans="1:16" s="12" customFormat="1" ht="12.75">
      <c r="A36" s="2" t="s">
        <v>420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>
        <f>P35-P34+P1+P37+P38</f>
        <v>-55085.446999999935</v>
      </c>
    </row>
    <row r="37" spans="1:16" s="12" customFormat="1" ht="12.75">
      <c r="A37" s="2" t="s">
        <v>603</v>
      </c>
      <c r="B37" s="2"/>
      <c r="C37" s="2"/>
      <c r="D37" s="2"/>
      <c r="E37" s="2"/>
      <c r="F37" s="2">
        <v>378</v>
      </c>
      <c r="G37" s="2"/>
      <c r="H37" s="2">
        <v>400</v>
      </c>
      <c r="I37" s="2"/>
      <c r="J37" s="2">
        <v>240</v>
      </c>
      <c r="K37" s="2"/>
      <c r="L37" s="2"/>
      <c r="M37" s="2"/>
      <c r="N37" s="2"/>
      <c r="O37" s="2"/>
      <c r="P37" s="2">
        <f>SUM(F37:O37)</f>
        <v>1018</v>
      </c>
    </row>
    <row r="38" spans="1:16" ht="12.75">
      <c r="A38" s="1" t="s">
        <v>527</v>
      </c>
      <c r="B38" s="1"/>
      <c r="C38" s="1"/>
      <c r="D38" s="1"/>
      <c r="E38" s="1"/>
      <c r="F38" s="1"/>
      <c r="G38" s="1"/>
      <c r="H38" s="1">
        <v>600</v>
      </c>
      <c r="I38" s="1"/>
      <c r="J38" s="1">
        <v>140</v>
      </c>
      <c r="K38" s="1"/>
      <c r="L38" s="1"/>
      <c r="M38" s="1"/>
      <c r="N38" s="1"/>
      <c r="O38" s="1"/>
      <c r="P38" s="1">
        <f>SUM(F38:O38)</f>
        <v>740</v>
      </c>
    </row>
    <row r="39" spans="1:16" ht="12.75">
      <c r="A39" s="1"/>
      <c r="B39" s="62" t="s">
        <v>481</v>
      </c>
      <c r="C39" s="63"/>
      <c r="D39" s="63"/>
      <c r="E39" s="63"/>
      <c r="F39" s="64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3" ht="12.75">
      <c r="G43" s="14" t="s">
        <v>428</v>
      </c>
    </row>
  </sheetData>
  <sheetProtection/>
  <mergeCells count="1">
    <mergeCell ref="B39:F39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60" workbookViewId="0" topLeftCell="A1">
      <pane xSplit="5" ySplit="24" topLeftCell="F46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H16" sqref="H16"/>
    </sheetView>
  </sheetViews>
  <sheetFormatPr defaultColWidth="9.00390625" defaultRowHeight="12.75"/>
  <cols>
    <col min="1" max="1" width="34.375" style="14" customWidth="1"/>
    <col min="2" max="3" width="11.375" style="14" customWidth="1"/>
    <col min="4" max="4" width="7.25390625" style="14" customWidth="1"/>
    <col min="5" max="5" width="8.75390625" style="14" customWidth="1"/>
    <col min="6" max="6" width="7.125" style="14" customWidth="1"/>
    <col min="7" max="7" width="8.625" style="14" customWidth="1"/>
    <col min="8" max="9" width="8.375" style="14" customWidth="1"/>
    <col min="10" max="10" width="8.25390625" style="14" customWidth="1"/>
    <col min="11" max="16384" width="9.125" style="14" customWidth="1"/>
  </cols>
  <sheetData>
    <row r="1" spans="1:17" s="12" customFormat="1" ht="12.75">
      <c r="A1" s="2" t="s">
        <v>422</v>
      </c>
      <c r="B1" s="2"/>
      <c r="C1" s="2">
        <v>3681</v>
      </c>
      <c r="D1" s="2"/>
      <c r="E1" s="2"/>
      <c r="F1" s="2"/>
      <c r="G1" s="2"/>
      <c r="H1" s="2"/>
      <c r="I1" s="2"/>
      <c r="J1" s="2"/>
      <c r="K1" s="2"/>
      <c r="L1" s="2" t="s">
        <v>446</v>
      </c>
      <c r="M1" s="2"/>
      <c r="N1" s="2"/>
      <c r="O1" s="2"/>
      <c r="P1" s="2"/>
      <c r="Q1" s="2">
        <v>92660.83</v>
      </c>
    </row>
    <row r="2" spans="1:17" ht="12.75">
      <c r="A2" s="1" t="s">
        <v>421</v>
      </c>
      <c r="B2" s="1"/>
      <c r="C2" s="1">
        <f>PRODUCT(C1,11.2)</f>
        <v>41227.2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12" customFormat="1" ht="12.75">
      <c r="A3" s="2" t="s">
        <v>409</v>
      </c>
      <c r="B3" s="2"/>
      <c r="C3" s="2" t="s">
        <v>410</v>
      </c>
      <c r="D3" s="2" t="s">
        <v>434</v>
      </c>
      <c r="E3" s="2" t="s">
        <v>438</v>
      </c>
      <c r="F3" s="2" t="s">
        <v>437</v>
      </c>
      <c r="G3" s="2" t="s">
        <v>436</v>
      </c>
      <c r="H3" s="2" t="s">
        <v>413</v>
      </c>
      <c r="I3" s="2" t="s">
        <v>414</v>
      </c>
      <c r="J3" s="2" t="s">
        <v>416</v>
      </c>
      <c r="K3" s="2" t="s">
        <v>417</v>
      </c>
      <c r="L3" s="2" t="s">
        <v>423</v>
      </c>
      <c r="M3" s="2" t="s">
        <v>424</v>
      </c>
      <c r="N3" s="2" t="s">
        <v>425</v>
      </c>
      <c r="O3" s="2" t="s">
        <v>426</v>
      </c>
      <c r="P3" s="2" t="s">
        <v>434</v>
      </c>
      <c r="Q3" s="2" t="s">
        <v>427</v>
      </c>
    </row>
    <row r="4" spans="1:17" ht="12.75">
      <c r="A4" s="1" t="s">
        <v>411</v>
      </c>
      <c r="B4" s="1"/>
      <c r="C4" s="1">
        <v>1.57</v>
      </c>
      <c r="D4" s="1">
        <f>C4*C1</f>
        <v>5779.17</v>
      </c>
      <c r="E4" s="1">
        <f>C4*C1</f>
        <v>5779.17</v>
      </c>
      <c r="F4" s="1">
        <f>C4*C1</f>
        <v>5779.17</v>
      </c>
      <c r="G4" s="1">
        <f>C4*C1</f>
        <v>5779.17</v>
      </c>
      <c r="H4" s="1">
        <f>C4*C1</f>
        <v>5779.17</v>
      </c>
      <c r="I4" s="1">
        <v>5779.17</v>
      </c>
      <c r="J4" s="1">
        <v>5779.17</v>
      </c>
      <c r="K4" s="1">
        <v>5779.17</v>
      </c>
      <c r="L4" s="1"/>
      <c r="M4" s="1"/>
      <c r="N4" s="1"/>
      <c r="O4" s="1"/>
      <c r="P4" s="1"/>
      <c r="Q4" s="1">
        <f aca="true" t="shared" si="0" ref="Q4:Q48">SUM(D4:P4)</f>
        <v>46233.35999999999</v>
      </c>
    </row>
    <row r="5" spans="1:17" ht="12.75">
      <c r="A5" s="1" t="s">
        <v>452</v>
      </c>
      <c r="B5" s="1"/>
      <c r="C5" s="1">
        <v>1.6</v>
      </c>
      <c r="D5" s="1">
        <f>C5*C1</f>
        <v>5889.6</v>
      </c>
      <c r="E5" s="1">
        <f>C5*C1</f>
        <v>5889.6</v>
      </c>
      <c r="F5" s="1">
        <f>C5*C1</f>
        <v>5889.6</v>
      </c>
      <c r="G5" s="1">
        <f>C5*C1</f>
        <v>5889.6</v>
      </c>
      <c r="H5" s="1">
        <f>C5*C1</f>
        <v>5889.6</v>
      </c>
      <c r="I5" s="1">
        <v>5889.6</v>
      </c>
      <c r="J5" s="1">
        <v>5889.6</v>
      </c>
      <c r="K5" s="1">
        <v>5889.6</v>
      </c>
      <c r="L5" s="1"/>
      <c r="M5" s="1"/>
      <c r="N5" s="1"/>
      <c r="O5" s="1"/>
      <c r="P5" s="1"/>
      <c r="Q5" s="1">
        <f t="shared" si="0"/>
        <v>47116.799999999996</v>
      </c>
    </row>
    <row r="6" spans="1:17" ht="12.75">
      <c r="A6" s="1" t="s">
        <v>412</v>
      </c>
      <c r="B6" s="1"/>
      <c r="C6" s="1">
        <v>1.6</v>
      </c>
      <c r="D6" s="1">
        <f>C6*C1</f>
        <v>5889.6</v>
      </c>
      <c r="E6" s="1">
        <f>C6*C1</f>
        <v>5889.6</v>
      </c>
      <c r="F6" s="1">
        <f>C6*C1</f>
        <v>5889.6</v>
      </c>
      <c r="G6" s="1">
        <f>C6*C1</f>
        <v>5889.6</v>
      </c>
      <c r="H6" s="1">
        <f>C6*C1</f>
        <v>5889.6</v>
      </c>
      <c r="I6" s="1">
        <v>5889.6</v>
      </c>
      <c r="J6" s="1">
        <v>5889.6</v>
      </c>
      <c r="K6" s="1">
        <v>5889.6</v>
      </c>
      <c r="L6" s="1"/>
      <c r="M6" s="1"/>
      <c r="N6" s="1"/>
      <c r="O6" s="1"/>
      <c r="P6" s="1"/>
      <c r="Q6" s="1">
        <f t="shared" si="0"/>
        <v>47116.799999999996</v>
      </c>
    </row>
    <row r="7" spans="1:17" ht="12.75">
      <c r="A7" s="1" t="s">
        <v>429</v>
      </c>
      <c r="B7" s="1"/>
      <c r="C7" s="1"/>
      <c r="D7" s="1">
        <v>169.33</v>
      </c>
      <c r="E7" s="1">
        <v>169.33</v>
      </c>
      <c r="F7" s="1">
        <v>169.33</v>
      </c>
      <c r="G7" s="1">
        <v>169.33</v>
      </c>
      <c r="H7" s="1">
        <v>169.33</v>
      </c>
      <c r="I7" s="1">
        <v>117.78</v>
      </c>
      <c r="J7" s="1">
        <v>533.75</v>
      </c>
      <c r="K7" s="1">
        <v>533.75</v>
      </c>
      <c r="L7" s="1"/>
      <c r="M7" s="1"/>
      <c r="N7" s="1"/>
      <c r="O7" s="1"/>
      <c r="P7" s="1"/>
      <c r="Q7" s="1">
        <f>SUM(D7:P7)</f>
        <v>2031.93</v>
      </c>
    </row>
    <row r="8" spans="1:17" ht="12.75">
      <c r="A8" s="1" t="s">
        <v>478</v>
      </c>
      <c r="B8" s="1"/>
      <c r="C8" s="1"/>
      <c r="D8" s="1">
        <v>4069</v>
      </c>
      <c r="E8" s="1">
        <v>4069</v>
      </c>
      <c r="F8" s="1">
        <v>4069</v>
      </c>
      <c r="G8" s="1">
        <v>4069</v>
      </c>
      <c r="H8" s="1">
        <v>4069</v>
      </c>
      <c r="I8" s="1">
        <v>4069</v>
      </c>
      <c r="J8" s="1">
        <v>4069</v>
      </c>
      <c r="K8" s="1">
        <v>4069</v>
      </c>
      <c r="L8" s="1"/>
      <c r="M8" s="1"/>
      <c r="N8" s="1"/>
      <c r="O8" s="1"/>
      <c r="P8" s="1"/>
      <c r="Q8" s="1">
        <f>SUM(D8:P8)</f>
        <v>32552</v>
      </c>
    </row>
    <row r="9" spans="1:17" ht="12.75">
      <c r="A9" s="1" t="s">
        <v>469</v>
      </c>
      <c r="B9" s="1"/>
      <c r="C9" s="1">
        <v>0.44</v>
      </c>
      <c r="D9" s="1">
        <v>1619.64</v>
      </c>
      <c r="E9" s="1">
        <v>1619.64</v>
      </c>
      <c r="F9" s="1">
        <v>1619.64</v>
      </c>
      <c r="G9" s="1">
        <v>1619.64</v>
      </c>
      <c r="H9" s="1">
        <v>1619.64</v>
      </c>
      <c r="I9" s="1">
        <v>1619.64</v>
      </c>
      <c r="J9" s="1">
        <v>1619.64</v>
      </c>
      <c r="K9" s="1">
        <v>1619.64</v>
      </c>
      <c r="L9" s="1"/>
      <c r="M9" s="1"/>
      <c r="N9" s="1"/>
      <c r="O9" s="1"/>
      <c r="P9" s="1"/>
      <c r="Q9" s="1">
        <f>SUM(D9:P9)</f>
        <v>12957.119999999999</v>
      </c>
    </row>
    <row r="10" spans="1:17" ht="12.75">
      <c r="A10" s="1" t="s">
        <v>435</v>
      </c>
      <c r="B10" s="1"/>
      <c r="C10" s="1">
        <v>0.66</v>
      </c>
      <c r="D10" s="1">
        <v>2429.46</v>
      </c>
      <c r="E10" s="1">
        <v>2429.46</v>
      </c>
      <c r="F10" s="1">
        <v>2429.46</v>
      </c>
      <c r="G10" s="1">
        <v>2429.46</v>
      </c>
      <c r="H10" s="1">
        <v>2429.46</v>
      </c>
      <c r="I10" s="1">
        <v>2429.46</v>
      </c>
      <c r="J10" s="1">
        <v>2429.46</v>
      </c>
      <c r="K10" s="1">
        <v>2429.46</v>
      </c>
      <c r="L10" s="1"/>
      <c r="M10" s="1"/>
      <c r="N10" s="1"/>
      <c r="O10" s="1"/>
      <c r="P10" s="1"/>
      <c r="Q10" s="1">
        <f>SUM(D10:P10)</f>
        <v>19435.679999999997</v>
      </c>
    </row>
    <row r="11" spans="1:17" ht="12.75">
      <c r="A11" s="3" t="s">
        <v>278</v>
      </c>
      <c r="B11" s="3"/>
      <c r="C11" s="1"/>
      <c r="D11" s="1">
        <v>500</v>
      </c>
      <c r="E11" s="1">
        <v>500</v>
      </c>
      <c r="F11" s="1">
        <v>500</v>
      </c>
      <c r="G11" s="1">
        <v>500</v>
      </c>
      <c r="H11" s="1">
        <v>500</v>
      </c>
      <c r="I11" s="1">
        <v>500</v>
      </c>
      <c r="J11" s="1">
        <v>500</v>
      </c>
      <c r="K11" s="1">
        <v>500</v>
      </c>
      <c r="L11" s="1"/>
      <c r="M11" s="1"/>
      <c r="N11" s="1"/>
      <c r="O11" s="1"/>
      <c r="P11" s="1"/>
      <c r="Q11" s="1">
        <f>SUM(D11:P11)</f>
        <v>4000</v>
      </c>
    </row>
    <row r="12" spans="1:17" ht="22.5">
      <c r="A12" s="3" t="s">
        <v>498</v>
      </c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f t="shared" si="0"/>
        <v>0</v>
      </c>
    </row>
    <row r="13" spans="1:17" ht="12.75">
      <c r="A13" s="1" t="s">
        <v>506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f t="shared" si="0"/>
        <v>0</v>
      </c>
    </row>
    <row r="14" spans="1:17" ht="12.75">
      <c r="A14" s="1" t="s">
        <v>513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f t="shared" si="0"/>
        <v>0</v>
      </c>
    </row>
    <row r="15" spans="1:17" ht="12.75">
      <c r="A15" s="1" t="s">
        <v>700</v>
      </c>
      <c r="B15" s="1"/>
      <c r="C15" s="1"/>
      <c r="D15" s="1"/>
      <c r="E15" s="1"/>
      <c r="F15" s="1"/>
      <c r="G15" s="1">
        <v>828.32</v>
      </c>
      <c r="H15" s="1"/>
      <c r="I15" s="1"/>
      <c r="J15" s="1"/>
      <c r="K15" s="1"/>
      <c r="L15" s="1"/>
      <c r="M15" s="1"/>
      <c r="N15" s="1"/>
      <c r="O15" s="1"/>
      <c r="P15" s="1"/>
      <c r="Q15" s="1">
        <f>SUM(D15:P15)</f>
        <v>828.32</v>
      </c>
    </row>
    <row r="16" spans="1:17" ht="12.75">
      <c r="A16" s="1" t="s">
        <v>490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f t="shared" si="0"/>
        <v>0</v>
      </c>
    </row>
    <row r="17" spans="1:17" ht="12.75">
      <c r="A17" s="1" t="s">
        <v>77</v>
      </c>
      <c r="B17" s="1"/>
      <c r="C17" s="1"/>
      <c r="D17" s="1"/>
      <c r="E17" s="1"/>
      <c r="F17" s="1"/>
      <c r="G17" s="1"/>
      <c r="H17" s="1"/>
      <c r="I17" s="1"/>
      <c r="J17" s="1"/>
      <c r="K17" s="1">
        <v>11211</v>
      </c>
      <c r="L17" s="1"/>
      <c r="M17" s="1"/>
      <c r="N17" s="1"/>
      <c r="O17" s="1"/>
      <c r="P17" s="1"/>
      <c r="Q17" s="1">
        <v>11211</v>
      </c>
    </row>
    <row r="18" spans="1:17" ht="12.75">
      <c r="A18" s="1" t="s">
        <v>499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f t="shared" si="0"/>
        <v>0</v>
      </c>
    </row>
    <row r="19" spans="1:17" ht="33.75">
      <c r="A19" s="3" t="s">
        <v>755</v>
      </c>
      <c r="B19" s="1"/>
      <c r="C19" s="1"/>
      <c r="D19" s="1"/>
      <c r="E19" s="1"/>
      <c r="F19" s="1"/>
      <c r="G19" s="1"/>
      <c r="H19" s="1"/>
      <c r="I19" s="1">
        <v>2015.51</v>
      </c>
      <c r="J19" s="1"/>
      <c r="K19" s="1"/>
      <c r="L19" s="1"/>
      <c r="M19" s="1"/>
      <c r="N19" s="1"/>
      <c r="O19" s="1"/>
      <c r="P19" s="1"/>
      <c r="Q19" s="1">
        <v>2015.51</v>
      </c>
    </row>
    <row r="20" spans="1:17" ht="22.5">
      <c r="A20" s="3" t="s">
        <v>721</v>
      </c>
      <c r="B20" s="1"/>
      <c r="C20" s="1"/>
      <c r="D20" s="1"/>
      <c r="E20" s="1"/>
      <c r="F20" s="1"/>
      <c r="G20" s="1">
        <v>1732.32</v>
      </c>
      <c r="H20" s="1"/>
      <c r="I20" s="1"/>
      <c r="J20" s="1"/>
      <c r="K20" s="1"/>
      <c r="L20" s="1"/>
      <c r="M20" s="1"/>
      <c r="N20" s="1"/>
      <c r="O20" s="1"/>
      <c r="P20" s="1"/>
      <c r="Q20" s="1">
        <v>1732.32</v>
      </c>
    </row>
    <row r="21" spans="1:17" ht="12.75">
      <c r="A21" s="3" t="s">
        <v>702</v>
      </c>
      <c r="B21" s="1"/>
      <c r="C21" s="1"/>
      <c r="D21" s="1"/>
      <c r="E21" s="1"/>
      <c r="F21" s="1"/>
      <c r="G21" s="1">
        <v>219.08</v>
      </c>
      <c r="H21" s="1"/>
      <c r="I21" s="1"/>
      <c r="J21" s="1"/>
      <c r="K21" s="1"/>
      <c r="L21" s="1"/>
      <c r="M21" s="1"/>
      <c r="N21" s="1"/>
      <c r="O21" s="1"/>
      <c r="P21" s="1"/>
      <c r="Q21" s="1">
        <v>219.08</v>
      </c>
    </row>
    <row r="22" spans="1:17" ht="22.5">
      <c r="A22" s="3" t="s">
        <v>50</v>
      </c>
      <c r="B22" s="1"/>
      <c r="C22" s="1"/>
      <c r="D22" s="1"/>
      <c r="E22" s="1"/>
      <c r="F22" s="1"/>
      <c r="G22" s="1"/>
      <c r="H22" s="1"/>
      <c r="I22" s="1"/>
      <c r="J22" s="1">
        <v>23744.38</v>
      </c>
      <c r="K22" s="1"/>
      <c r="L22" s="1"/>
      <c r="M22" s="1"/>
      <c r="N22" s="1"/>
      <c r="O22" s="1"/>
      <c r="P22" s="1"/>
      <c r="Q22" s="1">
        <v>23744.38</v>
      </c>
    </row>
    <row r="23" spans="1:17" ht="12.75">
      <c r="A23" s="3" t="s">
        <v>55</v>
      </c>
      <c r="B23" s="1"/>
      <c r="C23" s="1"/>
      <c r="D23" s="1"/>
      <c r="E23" s="1"/>
      <c r="F23" s="1"/>
      <c r="G23" s="1"/>
      <c r="H23" s="1"/>
      <c r="I23" s="1"/>
      <c r="J23" s="1">
        <v>35212.84</v>
      </c>
      <c r="K23" s="1"/>
      <c r="L23" s="1"/>
      <c r="M23" s="1"/>
      <c r="N23" s="1"/>
      <c r="O23" s="1"/>
      <c r="P23" s="1"/>
      <c r="Q23" s="1">
        <v>35212.84</v>
      </c>
    </row>
    <row r="24" spans="1:17" ht="12.75">
      <c r="A24" s="1" t="s">
        <v>514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f t="shared" si="0"/>
        <v>0</v>
      </c>
    </row>
    <row r="25" spans="1:17" ht="12.75">
      <c r="A25" s="1" t="s">
        <v>507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>
        <f t="shared" si="0"/>
        <v>0</v>
      </c>
    </row>
    <row r="26" spans="1:17" ht="12.75">
      <c r="A26" s="1" t="s">
        <v>4</v>
      </c>
      <c r="B26" s="1"/>
      <c r="C26" s="1"/>
      <c r="D26" s="1"/>
      <c r="E26" s="1"/>
      <c r="F26" s="1"/>
      <c r="G26" s="1"/>
      <c r="H26" s="1"/>
      <c r="I26" s="1"/>
      <c r="J26" s="1"/>
      <c r="K26" s="1">
        <v>3795.5</v>
      </c>
      <c r="L26" s="1"/>
      <c r="M26" s="1"/>
      <c r="N26" s="1"/>
      <c r="O26" s="1"/>
      <c r="P26" s="1"/>
      <c r="Q26" s="1">
        <v>3795.5</v>
      </c>
    </row>
    <row r="27" spans="1:17" ht="12.75">
      <c r="A27" s="1" t="s">
        <v>515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f t="shared" si="0"/>
        <v>0</v>
      </c>
    </row>
    <row r="28" spans="1:17" ht="12.75">
      <c r="A28" s="1" t="s">
        <v>229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>
        <f t="shared" si="0"/>
        <v>0</v>
      </c>
    </row>
    <row r="29" spans="1:17" ht="12.75">
      <c r="A29" s="1" t="s">
        <v>679</v>
      </c>
      <c r="B29" s="1"/>
      <c r="C29" s="1"/>
      <c r="D29" s="1">
        <v>64940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>
        <f t="shared" si="0"/>
        <v>64940</v>
      </c>
    </row>
    <row r="30" spans="1:17" ht="12.75">
      <c r="A30" s="1" t="s">
        <v>793</v>
      </c>
      <c r="B30" s="1"/>
      <c r="C30" s="1"/>
      <c r="D30" s="1"/>
      <c r="E30" s="1"/>
      <c r="F30" s="1"/>
      <c r="G30" s="1"/>
      <c r="H30" s="1"/>
      <c r="I30" s="1">
        <v>1500</v>
      </c>
      <c r="J30" s="1"/>
      <c r="K30" s="1"/>
      <c r="L30" s="1"/>
      <c r="M30" s="1"/>
      <c r="N30" s="1"/>
      <c r="O30" s="1"/>
      <c r="P30" s="1"/>
      <c r="Q30" s="1">
        <v>1500</v>
      </c>
    </row>
    <row r="31" spans="1:17" ht="33.75">
      <c r="A31" s="3" t="s">
        <v>239</v>
      </c>
      <c r="B31" s="1"/>
      <c r="C31" s="1"/>
      <c r="D31" s="1"/>
      <c r="E31" s="1"/>
      <c r="F31" s="1"/>
      <c r="G31" s="1">
        <v>39776.12</v>
      </c>
      <c r="H31" s="1"/>
      <c r="I31" s="1"/>
      <c r="J31" s="1"/>
      <c r="K31" s="1"/>
      <c r="L31" s="1"/>
      <c r="M31" s="1"/>
      <c r="N31" s="1"/>
      <c r="O31" s="1"/>
      <c r="P31" s="1"/>
      <c r="Q31" s="1">
        <f t="shared" si="0"/>
        <v>39776.12</v>
      </c>
    </row>
    <row r="32" spans="1:17" ht="12.75">
      <c r="A32" s="1" t="s">
        <v>240</v>
      </c>
      <c r="B32" s="1"/>
      <c r="C32" s="1"/>
      <c r="D32" s="1"/>
      <c r="E32" s="1"/>
      <c r="F32" s="1"/>
      <c r="G32" s="1">
        <v>1002</v>
      </c>
      <c r="H32" s="1"/>
      <c r="I32" s="1"/>
      <c r="J32" s="1"/>
      <c r="K32" s="1"/>
      <c r="L32" s="1"/>
      <c r="M32" s="1"/>
      <c r="N32" s="1"/>
      <c r="O32" s="1"/>
      <c r="P32" s="1"/>
      <c r="Q32" s="1">
        <f t="shared" si="0"/>
        <v>1002</v>
      </c>
    </row>
    <row r="33" spans="1:17" ht="12.75">
      <c r="A33" s="3" t="s">
        <v>241</v>
      </c>
      <c r="B33" s="3"/>
      <c r="C33" s="1"/>
      <c r="D33" s="1"/>
      <c r="E33" s="1"/>
      <c r="F33" s="1"/>
      <c r="G33" s="1">
        <v>190</v>
      </c>
      <c r="H33" s="1"/>
      <c r="I33" s="1"/>
      <c r="J33" s="1"/>
      <c r="K33" s="1"/>
      <c r="L33" s="1"/>
      <c r="M33" s="1"/>
      <c r="N33" s="1"/>
      <c r="O33" s="1"/>
      <c r="P33" s="1"/>
      <c r="Q33" s="1">
        <f t="shared" si="0"/>
        <v>190</v>
      </c>
    </row>
    <row r="34" spans="1:17" ht="12.75">
      <c r="A34" s="3" t="s">
        <v>621</v>
      </c>
      <c r="B34" s="3"/>
      <c r="C34" s="1"/>
      <c r="D34" s="1"/>
      <c r="E34" s="1"/>
      <c r="F34" s="1"/>
      <c r="G34" s="1"/>
      <c r="H34" s="1">
        <v>3249.49</v>
      </c>
      <c r="I34" s="1"/>
      <c r="J34" s="1"/>
      <c r="K34" s="1"/>
      <c r="L34" s="1"/>
      <c r="M34" s="1"/>
      <c r="N34" s="1"/>
      <c r="O34" s="1"/>
      <c r="P34" s="1"/>
      <c r="Q34" s="1">
        <f t="shared" si="0"/>
        <v>3249.49</v>
      </c>
    </row>
    <row r="35" spans="1:17" ht="12.75">
      <c r="A35" s="3" t="s">
        <v>629</v>
      </c>
      <c r="B35" s="3"/>
      <c r="C35" s="1"/>
      <c r="D35" s="1"/>
      <c r="E35" s="1"/>
      <c r="F35" s="1"/>
      <c r="G35" s="1"/>
      <c r="H35" s="1">
        <v>2787.64</v>
      </c>
      <c r="I35" s="1"/>
      <c r="J35" s="1"/>
      <c r="K35" s="1"/>
      <c r="L35" s="1"/>
      <c r="M35" s="1"/>
      <c r="N35" s="1"/>
      <c r="O35" s="1"/>
      <c r="P35" s="1"/>
      <c r="Q35" s="1">
        <f t="shared" si="0"/>
        <v>2787.64</v>
      </c>
    </row>
    <row r="36" spans="1:17" ht="12.75">
      <c r="A36" s="3" t="s">
        <v>635</v>
      </c>
      <c r="B36" s="3"/>
      <c r="C36" s="1"/>
      <c r="D36" s="1"/>
      <c r="E36" s="1"/>
      <c r="F36" s="1"/>
      <c r="G36" s="1"/>
      <c r="H36" s="1">
        <v>1967.07</v>
      </c>
      <c r="I36" s="1"/>
      <c r="J36" s="1"/>
      <c r="K36" s="1"/>
      <c r="L36" s="1"/>
      <c r="M36" s="1"/>
      <c r="N36" s="1"/>
      <c r="O36" s="1"/>
      <c r="P36" s="1"/>
      <c r="Q36" s="1">
        <f t="shared" si="0"/>
        <v>1967.07</v>
      </c>
    </row>
    <row r="37" spans="1:17" ht="12.75">
      <c r="A37" s="3" t="s">
        <v>636</v>
      </c>
      <c r="B37" s="3"/>
      <c r="C37" s="1"/>
      <c r="D37" s="1"/>
      <c r="E37" s="1"/>
      <c r="F37" s="1"/>
      <c r="G37" s="1"/>
      <c r="H37" s="1">
        <v>414.16</v>
      </c>
      <c r="I37" s="1"/>
      <c r="J37" s="1"/>
      <c r="K37" s="1"/>
      <c r="L37" s="1"/>
      <c r="M37" s="1"/>
      <c r="N37" s="1"/>
      <c r="O37" s="1"/>
      <c r="P37" s="1"/>
      <c r="Q37" s="1">
        <f t="shared" si="0"/>
        <v>414.16</v>
      </c>
    </row>
    <row r="38" spans="1:17" ht="12.75">
      <c r="A38" s="3" t="s">
        <v>639</v>
      </c>
      <c r="B38" s="3"/>
      <c r="C38" s="1"/>
      <c r="D38" s="1"/>
      <c r="E38" s="1"/>
      <c r="F38" s="1"/>
      <c r="G38" s="1"/>
      <c r="H38" s="1">
        <v>91.2</v>
      </c>
      <c r="I38" s="1"/>
      <c r="J38" s="1"/>
      <c r="K38" s="1"/>
      <c r="L38" s="1"/>
      <c r="M38" s="1"/>
      <c r="N38" s="1"/>
      <c r="O38" s="1"/>
      <c r="P38" s="1"/>
      <c r="Q38" s="1">
        <f t="shared" si="0"/>
        <v>91.2</v>
      </c>
    </row>
    <row r="39" spans="1:17" ht="12.75">
      <c r="A39" s="3" t="s">
        <v>274</v>
      </c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>
        <f t="shared" si="0"/>
        <v>0</v>
      </c>
    </row>
    <row r="40" spans="1:17" ht="12.75">
      <c r="A40" s="3" t="s">
        <v>276</v>
      </c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>
        <f t="shared" si="0"/>
        <v>0</v>
      </c>
    </row>
    <row r="41" spans="1:17" ht="12.75">
      <c r="A41" s="3" t="s">
        <v>277</v>
      </c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>
        <f t="shared" si="0"/>
        <v>0</v>
      </c>
    </row>
    <row r="42" spans="1:17" ht="22.5">
      <c r="A42" s="3" t="s">
        <v>533</v>
      </c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>
        <f t="shared" si="0"/>
        <v>0</v>
      </c>
    </row>
    <row r="43" spans="1:17" ht="12.75">
      <c r="A43" s="3" t="s">
        <v>673</v>
      </c>
      <c r="B43" s="3"/>
      <c r="C43" s="1"/>
      <c r="D43" s="1"/>
      <c r="E43" s="1"/>
      <c r="F43" s="1"/>
      <c r="G43" s="1">
        <v>3920</v>
      </c>
      <c r="H43" s="1"/>
      <c r="I43" s="1"/>
      <c r="J43" s="1"/>
      <c r="K43" s="1"/>
      <c r="L43" s="1"/>
      <c r="M43" s="1"/>
      <c r="N43" s="1"/>
      <c r="O43" s="1"/>
      <c r="P43" s="1"/>
      <c r="Q43" s="1">
        <f>SUM(D43:P43)</f>
        <v>3920</v>
      </c>
    </row>
    <row r="44" spans="1:17" ht="22.5">
      <c r="A44" s="3" t="s">
        <v>644</v>
      </c>
      <c r="B44" s="3"/>
      <c r="C44" s="1"/>
      <c r="D44" s="1"/>
      <c r="E44" s="1"/>
      <c r="F44" s="1"/>
      <c r="G44" s="1"/>
      <c r="H44" s="1">
        <v>726.16</v>
      </c>
      <c r="I44" s="1"/>
      <c r="J44" s="1"/>
      <c r="K44" s="1"/>
      <c r="L44" s="1"/>
      <c r="M44" s="1"/>
      <c r="N44" s="1"/>
      <c r="O44" s="1"/>
      <c r="P44" s="1"/>
      <c r="Q44" s="1">
        <f>SUM(D44:P44)</f>
        <v>726.16</v>
      </c>
    </row>
    <row r="45" spans="1:17" ht="22.5">
      <c r="A45" s="3" t="s">
        <v>534</v>
      </c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>
        <f t="shared" si="0"/>
        <v>0</v>
      </c>
    </row>
    <row r="46" spans="1:17" ht="12.75">
      <c r="A46" s="3" t="s">
        <v>497</v>
      </c>
      <c r="B46" s="3"/>
      <c r="C46" s="1"/>
      <c r="D46" s="1"/>
      <c r="E46" s="1"/>
      <c r="F46" s="1"/>
      <c r="G46" s="1"/>
      <c r="H46" s="1"/>
      <c r="I46" s="1"/>
      <c r="J46" s="1">
        <f>16944+2719.87+5732</f>
        <v>25395.87</v>
      </c>
      <c r="K46" s="1"/>
      <c r="L46" s="1"/>
      <c r="M46" s="1"/>
      <c r="N46" s="1"/>
      <c r="O46" s="1"/>
      <c r="P46" s="1"/>
      <c r="Q46" s="1">
        <f t="shared" si="0"/>
        <v>25395.87</v>
      </c>
    </row>
    <row r="47" spans="1:17" ht="12.75">
      <c r="A47" s="3" t="s">
        <v>229</v>
      </c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>
        <f t="shared" si="0"/>
        <v>0</v>
      </c>
    </row>
    <row r="48" spans="1:17" ht="12.75">
      <c r="A48" s="3" t="s">
        <v>528</v>
      </c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>
        <f t="shared" si="0"/>
        <v>0</v>
      </c>
    </row>
    <row r="49" spans="1:17" ht="12.75">
      <c r="A49" s="1" t="s">
        <v>415</v>
      </c>
      <c r="B49" s="1"/>
      <c r="C49" s="1"/>
      <c r="D49" s="1">
        <f aca="true" t="shared" si="1" ref="D49:P49">SUM(D4:D47)</f>
        <v>91285.8</v>
      </c>
      <c r="E49" s="1">
        <f t="shared" si="1"/>
        <v>26345.800000000003</v>
      </c>
      <c r="F49" s="1">
        <f t="shared" si="1"/>
        <v>26345.800000000003</v>
      </c>
      <c r="G49" s="1">
        <f t="shared" si="1"/>
        <v>74013.64000000001</v>
      </c>
      <c r="H49" s="1">
        <f t="shared" si="1"/>
        <v>35581.520000000004</v>
      </c>
      <c r="I49" s="1">
        <f t="shared" si="1"/>
        <v>29809.76</v>
      </c>
      <c r="J49" s="1">
        <f t="shared" si="1"/>
        <v>111063.31</v>
      </c>
      <c r="K49" s="1">
        <f t="shared" si="1"/>
        <v>41716.72</v>
      </c>
      <c r="L49" s="1">
        <f t="shared" si="1"/>
        <v>0</v>
      </c>
      <c r="M49" s="1">
        <f t="shared" si="1"/>
        <v>0</v>
      </c>
      <c r="N49" s="1">
        <f t="shared" si="1"/>
        <v>0</v>
      </c>
      <c r="O49" s="1">
        <f t="shared" si="1"/>
        <v>0</v>
      </c>
      <c r="P49" s="1">
        <f t="shared" si="1"/>
        <v>0</v>
      </c>
      <c r="Q49" s="1">
        <f>SUM(Q4:Q48)</f>
        <v>436162.35</v>
      </c>
    </row>
    <row r="50" spans="1:17" ht="12.75">
      <c r="A50" s="1" t="s">
        <v>419</v>
      </c>
      <c r="B50" s="1"/>
      <c r="C50" s="1"/>
      <c r="D50" s="1">
        <v>33514.75</v>
      </c>
      <c r="E50" s="1">
        <v>52454.45</v>
      </c>
      <c r="F50" s="1">
        <v>51453.07</v>
      </c>
      <c r="G50" s="1">
        <v>48402.62</v>
      </c>
      <c r="H50" s="1">
        <v>60776.48</v>
      </c>
      <c r="I50" s="1">
        <v>47830</v>
      </c>
      <c r="J50" s="1">
        <v>49979.01</v>
      </c>
      <c r="K50" s="1">
        <v>50999.66</v>
      </c>
      <c r="L50" s="1"/>
      <c r="M50" s="1"/>
      <c r="N50" s="1"/>
      <c r="O50" s="1"/>
      <c r="P50" s="1"/>
      <c r="Q50" s="1">
        <f>SUM(D50:P50)+Q55</f>
        <v>401338.54000000004</v>
      </c>
    </row>
    <row r="51" spans="1:17" s="12" customFormat="1" ht="12.75">
      <c r="A51" s="2" t="s">
        <v>420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>
        <f>SUM(Q54+Q55+Q50+Q1-Q49)</f>
        <v>64783.52000000008</v>
      </c>
    </row>
    <row r="52" spans="1:1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1"/>
      <c r="B53" s="24"/>
      <c r="C53" s="62" t="s">
        <v>476</v>
      </c>
      <c r="D53" s="63"/>
      <c r="E53" s="63"/>
      <c r="F53" s="63"/>
      <c r="G53" s="64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" t="s">
        <v>604</v>
      </c>
      <c r="B54" s="1"/>
      <c r="C54" s="1"/>
      <c r="D54" s="1"/>
      <c r="E54" s="1"/>
      <c r="F54" s="1"/>
      <c r="G54" s="1">
        <v>378</v>
      </c>
      <c r="H54" s="1"/>
      <c r="I54" s="1">
        <v>400</v>
      </c>
      <c r="J54" s="1"/>
      <c r="K54" s="1">
        <v>240</v>
      </c>
      <c r="L54" s="1"/>
      <c r="M54" s="1"/>
      <c r="N54" s="1"/>
      <c r="O54" s="1"/>
      <c r="P54" s="1"/>
      <c r="Q54" s="1">
        <f>SUM(G54:O54)</f>
        <v>1018</v>
      </c>
    </row>
    <row r="55" spans="1:17" ht="12.75">
      <c r="A55" s="1" t="s">
        <v>527</v>
      </c>
      <c r="B55" s="1"/>
      <c r="C55" s="1"/>
      <c r="D55" s="1"/>
      <c r="E55" s="1"/>
      <c r="F55" s="1"/>
      <c r="G55" s="1">
        <v>3675</v>
      </c>
      <c r="H55" s="1">
        <v>1513.5</v>
      </c>
      <c r="I55" s="1">
        <v>600</v>
      </c>
      <c r="J55" s="1"/>
      <c r="K55" s="1">
        <v>140</v>
      </c>
      <c r="L55" s="1"/>
      <c r="M55" s="1"/>
      <c r="N55" s="1"/>
      <c r="O55" s="1"/>
      <c r="P55" s="1"/>
      <c r="Q55" s="1">
        <f>SUM(G55:P55)</f>
        <v>5928.5</v>
      </c>
    </row>
    <row r="57" ht="12.75">
      <c r="H57" s="14" t="s">
        <v>428</v>
      </c>
    </row>
  </sheetData>
  <sheetProtection/>
  <mergeCells count="1">
    <mergeCell ref="C53:G53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pane xSplit="5" ySplit="18" topLeftCell="F36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P45" sqref="P45"/>
    </sheetView>
  </sheetViews>
  <sheetFormatPr defaultColWidth="9.00390625" defaultRowHeight="12.75"/>
  <cols>
    <col min="1" max="1" width="34.375" style="14" customWidth="1"/>
    <col min="2" max="2" width="11.375" style="14" customWidth="1"/>
    <col min="3" max="3" width="7.25390625" style="14" customWidth="1"/>
    <col min="4" max="4" width="8.75390625" style="14" customWidth="1"/>
    <col min="5" max="5" width="8.125" style="14" customWidth="1"/>
    <col min="6" max="6" width="8.75390625" style="14" customWidth="1"/>
    <col min="7" max="7" width="8.375" style="14" customWidth="1"/>
    <col min="8" max="8" width="9.125" style="14" customWidth="1"/>
    <col min="9" max="9" width="7.25390625" style="14" customWidth="1"/>
    <col min="10" max="10" width="9.125" style="14" customWidth="1"/>
    <col min="11" max="11" width="10.00390625" style="14" customWidth="1"/>
    <col min="12" max="16384" width="9.125" style="14" customWidth="1"/>
  </cols>
  <sheetData>
    <row r="1" spans="1:16" s="12" customFormat="1" ht="12.75">
      <c r="A1" s="2" t="s">
        <v>422</v>
      </c>
      <c r="B1" s="2">
        <v>2590.9</v>
      </c>
      <c r="C1" s="2"/>
      <c r="D1" s="2"/>
      <c r="E1" s="2"/>
      <c r="F1" s="2"/>
      <c r="G1" s="2"/>
      <c r="H1" s="2" t="s">
        <v>418</v>
      </c>
      <c r="I1" s="2"/>
      <c r="J1" s="2"/>
      <c r="K1" s="2" t="s">
        <v>462</v>
      </c>
      <c r="L1" s="2" t="s">
        <v>219</v>
      </c>
      <c r="M1" s="2"/>
      <c r="N1" s="2"/>
      <c r="O1" s="2"/>
      <c r="P1" s="2">
        <v>-64536.36</v>
      </c>
    </row>
    <row r="2" spans="1:16" ht="12.75">
      <c r="A2" s="1" t="s">
        <v>421</v>
      </c>
      <c r="B2" s="1">
        <f>PRODUCT(B1,10.65)</f>
        <v>27593.085000000003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2" customFormat="1" ht="12.75">
      <c r="A3" s="2" t="s">
        <v>409</v>
      </c>
      <c r="B3" s="2" t="s">
        <v>410</v>
      </c>
      <c r="C3" s="2" t="s">
        <v>434</v>
      </c>
      <c r="D3" s="2" t="s">
        <v>438</v>
      </c>
      <c r="E3" s="2" t="s">
        <v>437</v>
      </c>
      <c r="F3" s="2" t="s">
        <v>436</v>
      </c>
      <c r="G3" s="2" t="s">
        <v>413</v>
      </c>
      <c r="H3" s="2" t="s">
        <v>414</v>
      </c>
      <c r="I3" s="2" t="s">
        <v>416</v>
      </c>
      <c r="J3" s="2" t="s">
        <v>417</v>
      </c>
      <c r="K3" s="2" t="s">
        <v>423</v>
      </c>
      <c r="L3" s="2" t="s">
        <v>424</v>
      </c>
      <c r="M3" s="2" t="s">
        <v>425</v>
      </c>
      <c r="N3" s="2" t="s">
        <v>426</v>
      </c>
      <c r="O3" s="2" t="s">
        <v>434</v>
      </c>
      <c r="P3" s="2" t="s">
        <v>427</v>
      </c>
    </row>
    <row r="4" spans="1:16" ht="12.75">
      <c r="A4" s="1" t="s">
        <v>411</v>
      </c>
      <c r="B4" s="1">
        <v>1.57</v>
      </c>
      <c r="C4" s="1">
        <f>B4*B1</f>
        <v>4067.713</v>
      </c>
      <c r="D4" s="1">
        <f>B4*B1</f>
        <v>4067.713</v>
      </c>
      <c r="E4" s="1">
        <f>B4*B1</f>
        <v>4067.713</v>
      </c>
      <c r="F4" s="1">
        <f>B4*B1</f>
        <v>4067.713</v>
      </c>
      <c r="G4" s="1">
        <f>B4*B1</f>
        <v>4067.713</v>
      </c>
      <c r="H4" s="1">
        <v>4067.74</v>
      </c>
      <c r="I4" s="1">
        <v>4067.74</v>
      </c>
      <c r="J4" s="1">
        <v>4067.74</v>
      </c>
      <c r="K4" s="1"/>
      <c r="L4" s="1"/>
      <c r="M4" s="1"/>
      <c r="N4" s="1"/>
      <c r="O4" s="1"/>
      <c r="P4" s="1">
        <f>SUM(C4:O4)</f>
        <v>32541.784999999996</v>
      </c>
    </row>
    <row r="5" spans="1:16" ht="12.75">
      <c r="A5" s="1" t="s">
        <v>451</v>
      </c>
      <c r="B5" s="1">
        <v>1.6</v>
      </c>
      <c r="C5" s="1">
        <f>B5*B1</f>
        <v>4145.4400000000005</v>
      </c>
      <c r="D5" s="1">
        <f>B5*B1</f>
        <v>4145.4400000000005</v>
      </c>
      <c r="E5" s="1">
        <f>B5*B1</f>
        <v>4145.4400000000005</v>
      </c>
      <c r="F5" s="1">
        <f>B5*B1</f>
        <v>4145.4400000000005</v>
      </c>
      <c r="G5" s="1">
        <f>B5*B1</f>
        <v>4145.4400000000005</v>
      </c>
      <c r="H5" s="1">
        <v>4145.44</v>
      </c>
      <c r="I5" s="1">
        <v>4145.44</v>
      </c>
      <c r="J5" s="1">
        <v>4145.44</v>
      </c>
      <c r="K5" s="1"/>
      <c r="L5" s="1"/>
      <c r="M5" s="1"/>
      <c r="N5" s="1"/>
      <c r="O5" s="1"/>
      <c r="P5" s="1">
        <f>SUM(C5:O5)</f>
        <v>33163.520000000004</v>
      </c>
    </row>
    <row r="6" spans="1:16" ht="12.75">
      <c r="A6" s="1" t="s">
        <v>412</v>
      </c>
      <c r="B6" s="1">
        <v>1.6</v>
      </c>
      <c r="C6" s="1">
        <f>B6*B1</f>
        <v>4145.4400000000005</v>
      </c>
      <c r="D6" s="1">
        <f>B6*B1</f>
        <v>4145.4400000000005</v>
      </c>
      <c r="E6" s="1">
        <f>B6*B1</f>
        <v>4145.4400000000005</v>
      </c>
      <c r="F6" s="1">
        <f>B6*B1</f>
        <v>4145.4400000000005</v>
      </c>
      <c r="G6" s="1">
        <f>B6*B1</f>
        <v>4145.4400000000005</v>
      </c>
      <c r="H6" s="1">
        <v>4145.44</v>
      </c>
      <c r="I6" s="1">
        <v>4145.44</v>
      </c>
      <c r="J6" s="1">
        <v>4145.44</v>
      </c>
      <c r="K6" s="1"/>
      <c r="L6" s="1"/>
      <c r="M6" s="1"/>
      <c r="N6" s="1"/>
      <c r="O6" s="1"/>
      <c r="P6" s="1">
        <f>SUM(C6:O6)</f>
        <v>33163.520000000004</v>
      </c>
    </row>
    <row r="7" spans="1:16" ht="12.75">
      <c r="A7" s="1" t="s">
        <v>491</v>
      </c>
      <c r="B7" s="1">
        <v>0.44</v>
      </c>
      <c r="C7" s="1">
        <v>1139.6</v>
      </c>
      <c r="D7" s="1">
        <v>1139.6</v>
      </c>
      <c r="E7" s="1">
        <v>1139.6</v>
      </c>
      <c r="F7" s="1">
        <v>1139.6</v>
      </c>
      <c r="G7" s="1">
        <v>1139.6</v>
      </c>
      <c r="H7" s="1">
        <v>1139.6</v>
      </c>
      <c r="I7" s="1">
        <v>1139.6</v>
      </c>
      <c r="J7" s="1">
        <v>1139.6</v>
      </c>
      <c r="K7" s="1"/>
      <c r="L7" s="1"/>
      <c r="M7" s="1"/>
      <c r="N7" s="1"/>
      <c r="O7" s="1"/>
      <c r="P7" s="1">
        <f>SUM(B7:O7)</f>
        <v>9117.240000000002</v>
      </c>
    </row>
    <row r="8" spans="1:16" ht="12.75">
      <c r="A8" s="1" t="s">
        <v>435</v>
      </c>
      <c r="B8" s="1">
        <v>0.66</v>
      </c>
      <c r="C8" s="1">
        <v>1709.99</v>
      </c>
      <c r="D8" s="1">
        <v>1709.99</v>
      </c>
      <c r="E8" s="1">
        <v>1709.99</v>
      </c>
      <c r="F8" s="1">
        <v>1709.99</v>
      </c>
      <c r="G8" s="1">
        <v>1709.99</v>
      </c>
      <c r="H8" s="1">
        <v>1709.99</v>
      </c>
      <c r="I8" s="1">
        <v>1709.99</v>
      </c>
      <c r="J8" s="1">
        <v>1709.99</v>
      </c>
      <c r="K8" s="1"/>
      <c r="L8" s="1"/>
      <c r="M8" s="1"/>
      <c r="N8" s="1"/>
      <c r="O8" s="1"/>
      <c r="P8" s="1">
        <f aca="true" t="shared" si="0" ref="P8:P36">SUM(C8:O8)</f>
        <v>13679.92</v>
      </c>
    </row>
    <row r="9" spans="1:16" ht="12.75">
      <c r="A9" s="1" t="s">
        <v>429</v>
      </c>
      <c r="B9" s="1"/>
      <c r="C9" s="1">
        <v>119.14</v>
      </c>
      <c r="D9" s="1">
        <v>119.14</v>
      </c>
      <c r="E9" s="1">
        <v>119.14</v>
      </c>
      <c r="F9" s="1">
        <v>119.14</v>
      </c>
      <c r="G9" s="1">
        <v>119.14</v>
      </c>
      <c r="H9" s="1">
        <v>82.91</v>
      </c>
      <c r="I9" s="1">
        <v>375.68</v>
      </c>
      <c r="J9" s="1">
        <v>375.68</v>
      </c>
      <c r="K9" s="1"/>
      <c r="L9" s="1"/>
      <c r="M9" s="1"/>
      <c r="N9" s="1"/>
      <c r="O9" s="1"/>
      <c r="P9" s="1">
        <f t="shared" si="0"/>
        <v>1429.97</v>
      </c>
    </row>
    <row r="10" spans="1:16" ht="12.75">
      <c r="A10" s="1" t="s">
        <v>478</v>
      </c>
      <c r="B10" s="1"/>
      <c r="C10" s="1">
        <v>2712</v>
      </c>
      <c r="D10" s="1">
        <v>2712</v>
      </c>
      <c r="E10" s="1">
        <v>2712</v>
      </c>
      <c r="F10" s="1">
        <v>2712</v>
      </c>
      <c r="G10" s="1">
        <v>2712</v>
      </c>
      <c r="H10" s="1">
        <v>2712</v>
      </c>
      <c r="I10" s="1">
        <v>2712</v>
      </c>
      <c r="J10" s="1">
        <v>2712</v>
      </c>
      <c r="K10" s="1"/>
      <c r="L10" s="1"/>
      <c r="M10" s="1"/>
      <c r="N10" s="1"/>
      <c r="O10" s="1"/>
      <c r="P10" s="1">
        <f t="shared" si="0"/>
        <v>21696</v>
      </c>
    </row>
    <row r="11" spans="1:16" ht="12.75">
      <c r="A11" s="3" t="s">
        <v>253</v>
      </c>
      <c r="B11" s="1"/>
      <c r="C11" s="1">
        <v>2034</v>
      </c>
      <c r="D11" s="1">
        <v>2034</v>
      </c>
      <c r="E11" s="1">
        <v>2034</v>
      </c>
      <c r="F11" s="1">
        <v>2034</v>
      </c>
      <c r="G11" s="1">
        <v>2034</v>
      </c>
      <c r="H11" s="1">
        <v>2034</v>
      </c>
      <c r="I11" s="1">
        <v>2034</v>
      </c>
      <c r="J11" s="1">
        <v>2034</v>
      </c>
      <c r="K11" s="1"/>
      <c r="L11" s="1"/>
      <c r="M11" s="1"/>
      <c r="N11" s="1"/>
      <c r="O11" s="1"/>
      <c r="P11" s="1">
        <f t="shared" si="0"/>
        <v>16272</v>
      </c>
    </row>
    <row r="12" spans="1:16" ht="12.75">
      <c r="A12" s="3" t="s">
        <v>259</v>
      </c>
      <c r="B12" s="1"/>
      <c r="C12" s="1">
        <v>500</v>
      </c>
      <c r="D12" s="1">
        <v>500</v>
      </c>
      <c r="E12" s="1">
        <v>500</v>
      </c>
      <c r="F12" s="1">
        <v>500</v>
      </c>
      <c r="G12" s="1">
        <v>0</v>
      </c>
      <c r="H12" s="1"/>
      <c r="I12" s="1"/>
      <c r="J12" s="1"/>
      <c r="K12" s="1"/>
      <c r="L12" s="1"/>
      <c r="M12" s="1"/>
      <c r="N12" s="1"/>
      <c r="O12" s="1"/>
      <c r="P12" s="1">
        <f t="shared" si="0"/>
        <v>2000</v>
      </c>
    </row>
    <row r="13" spans="1:16" ht="22.5">
      <c r="A13" s="3" t="s">
        <v>498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 t="shared" si="0"/>
        <v>0</v>
      </c>
    </row>
    <row r="14" spans="1:16" ht="12.75">
      <c r="A14" s="1" t="s">
        <v>506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si="0"/>
        <v>0</v>
      </c>
    </row>
    <row r="15" spans="1:16" ht="12.75">
      <c r="A15" s="1" t="s">
        <v>184</v>
      </c>
      <c r="B15" s="1"/>
      <c r="C15" s="1"/>
      <c r="D15" s="1"/>
      <c r="E15" s="1"/>
      <c r="F15" s="1">
        <v>2777.36</v>
      </c>
      <c r="G15" s="1"/>
      <c r="H15" s="1"/>
      <c r="I15" s="1"/>
      <c r="J15" s="1"/>
      <c r="K15" s="1"/>
      <c r="L15" s="1"/>
      <c r="M15" s="1"/>
      <c r="N15" s="1"/>
      <c r="O15" s="1"/>
      <c r="P15" s="1">
        <f>SUM(C15:O15)</f>
        <v>2777.36</v>
      </c>
    </row>
    <row r="16" spans="1:16" ht="22.5">
      <c r="A16" s="3" t="s">
        <v>719</v>
      </c>
      <c r="B16" s="1"/>
      <c r="C16" s="1"/>
      <c r="D16" s="1"/>
      <c r="E16" s="1"/>
      <c r="F16" s="1">
        <v>3572.64</v>
      </c>
      <c r="G16" s="1"/>
      <c r="H16" s="1"/>
      <c r="I16" s="1"/>
      <c r="J16" s="1"/>
      <c r="K16" s="1"/>
      <c r="L16" s="1"/>
      <c r="M16" s="1"/>
      <c r="N16" s="1"/>
      <c r="O16" s="1"/>
      <c r="P16" s="1">
        <v>3572.64</v>
      </c>
    </row>
    <row r="17" spans="1:16" ht="12.75">
      <c r="A17" s="1" t="s">
        <v>489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si="0"/>
        <v>0</v>
      </c>
    </row>
    <row r="18" spans="1:16" ht="12.75">
      <c r="A18" s="1" t="s">
        <v>499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2"/>
      <c r="N18" s="1"/>
      <c r="O18" s="1"/>
      <c r="P18" s="1">
        <f t="shared" si="0"/>
        <v>0</v>
      </c>
    </row>
    <row r="19" spans="1:16" ht="22.5">
      <c r="A19" s="3" t="s">
        <v>533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f t="shared" si="0"/>
        <v>0</v>
      </c>
    </row>
    <row r="20" spans="1:16" ht="12.75">
      <c r="A20" s="3" t="s">
        <v>702</v>
      </c>
      <c r="B20" s="1"/>
      <c r="C20" s="1"/>
      <c r="D20" s="1"/>
      <c r="E20" s="1"/>
      <c r="F20" s="1">
        <v>469.08</v>
      </c>
      <c r="G20" s="1"/>
      <c r="H20" s="1"/>
      <c r="I20" s="1"/>
      <c r="J20" s="1"/>
      <c r="K20" s="1"/>
      <c r="L20" s="1"/>
      <c r="M20" s="1"/>
      <c r="N20" s="1"/>
      <c r="O20" s="1"/>
      <c r="P20" s="1">
        <v>469.08</v>
      </c>
    </row>
    <row r="21" spans="1:16" ht="12.75">
      <c r="A21" s="3" t="s">
        <v>735</v>
      </c>
      <c r="B21" s="1"/>
      <c r="C21" s="1"/>
      <c r="D21" s="1"/>
      <c r="E21" s="1"/>
      <c r="F21" s="1">
        <v>684.16</v>
      </c>
      <c r="G21" s="1"/>
      <c r="H21" s="1"/>
      <c r="I21" s="1"/>
      <c r="J21" s="1"/>
      <c r="K21" s="1"/>
      <c r="L21" s="1"/>
      <c r="M21" s="1"/>
      <c r="N21" s="1"/>
      <c r="O21" s="1"/>
      <c r="P21" s="1">
        <v>684.16</v>
      </c>
    </row>
    <row r="22" spans="1:16" ht="12.75">
      <c r="A22" s="3" t="s">
        <v>700</v>
      </c>
      <c r="B22" s="1"/>
      <c r="C22" s="1"/>
      <c r="D22" s="1"/>
      <c r="E22" s="1"/>
      <c r="F22" s="1">
        <v>828.32</v>
      </c>
      <c r="G22" s="1"/>
      <c r="H22" s="1"/>
      <c r="I22" s="1"/>
      <c r="J22" s="1"/>
      <c r="K22" s="1"/>
      <c r="L22" s="1"/>
      <c r="M22" s="1"/>
      <c r="N22" s="1"/>
      <c r="O22" s="1"/>
      <c r="P22" s="1">
        <v>828.32</v>
      </c>
    </row>
    <row r="23" spans="1:16" ht="12.75">
      <c r="A23" s="3" t="s">
        <v>718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.75" customHeight="1">
      <c r="A24" s="3" t="s">
        <v>539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f t="shared" si="0"/>
        <v>0</v>
      </c>
    </row>
    <row r="25" spans="1:16" ht="22.5">
      <c r="A25" s="3" t="s">
        <v>281</v>
      </c>
      <c r="B25" s="1"/>
      <c r="C25" s="1"/>
      <c r="D25" s="1"/>
      <c r="E25" s="1"/>
      <c r="F25" s="1"/>
      <c r="G25" s="1"/>
      <c r="H25" s="1">
        <v>12283</v>
      </c>
      <c r="I25" s="1"/>
      <c r="J25" s="1"/>
      <c r="K25" s="1"/>
      <c r="L25" s="1"/>
      <c r="M25" s="1"/>
      <c r="N25" s="1"/>
      <c r="O25" s="1"/>
      <c r="P25" s="1">
        <f t="shared" si="0"/>
        <v>12283</v>
      </c>
    </row>
    <row r="26" spans="1:16" ht="12.75">
      <c r="A26" s="3" t="s">
        <v>242</v>
      </c>
      <c r="B26" s="1"/>
      <c r="C26" s="1"/>
      <c r="D26" s="1"/>
      <c r="E26" s="1"/>
      <c r="F26" s="1">
        <v>114</v>
      </c>
      <c r="G26" s="1"/>
      <c r="H26" s="1"/>
      <c r="I26" s="1"/>
      <c r="J26" s="1"/>
      <c r="K26" s="1"/>
      <c r="L26" s="1"/>
      <c r="M26" s="1"/>
      <c r="N26" s="1"/>
      <c r="O26" s="1"/>
      <c r="P26" s="1">
        <f t="shared" si="0"/>
        <v>114</v>
      </c>
    </row>
    <row r="27" spans="1:16" ht="22.5">
      <c r="A27" s="3" t="s">
        <v>243</v>
      </c>
      <c r="B27" s="1"/>
      <c r="C27" s="1"/>
      <c r="D27" s="1"/>
      <c r="E27" s="1">
        <v>1035.4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>
        <f t="shared" si="0"/>
        <v>1035.4</v>
      </c>
    </row>
    <row r="28" spans="1:16" ht="22.5">
      <c r="A28" s="3" t="s">
        <v>244</v>
      </c>
      <c r="B28" s="1"/>
      <c r="C28" s="1"/>
      <c r="D28" s="1"/>
      <c r="E28" s="1">
        <v>103.54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>
        <f t="shared" si="0"/>
        <v>103.54</v>
      </c>
    </row>
    <row r="29" spans="1:16" ht="22.5">
      <c r="A29" s="3" t="s">
        <v>245</v>
      </c>
      <c r="B29" s="1"/>
      <c r="C29" s="1"/>
      <c r="D29" s="1"/>
      <c r="E29" s="1">
        <v>77187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>
        <f t="shared" si="0"/>
        <v>77187</v>
      </c>
    </row>
    <row r="30" spans="1:16" ht="22.5">
      <c r="A30" s="3" t="s">
        <v>246</v>
      </c>
      <c r="B30" s="1"/>
      <c r="C30" s="1"/>
      <c r="D30" s="1"/>
      <c r="E30" s="1">
        <v>565.16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>
        <f t="shared" si="0"/>
        <v>565.16</v>
      </c>
    </row>
    <row r="31" spans="1:16" ht="22.5">
      <c r="A31" s="3" t="s">
        <v>247</v>
      </c>
      <c r="B31" s="1"/>
      <c r="C31" s="1"/>
      <c r="D31" s="1">
        <v>1424.32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>
        <f t="shared" si="0"/>
        <v>1424.32</v>
      </c>
    </row>
    <row r="32" spans="1:16" ht="12.75">
      <c r="A32" s="3" t="s">
        <v>794</v>
      </c>
      <c r="B32" s="1"/>
      <c r="C32" s="1"/>
      <c r="D32" s="1"/>
      <c r="E32" s="1"/>
      <c r="F32" s="1"/>
      <c r="G32" s="1"/>
      <c r="H32" s="1">
        <v>1500</v>
      </c>
      <c r="I32" s="1"/>
      <c r="J32" s="1"/>
      <c r="K32" s="1"/>
      <c r="L32" s="1"/>
      <c r="M32" s="1"/>
      <c r="N32" s="1"/>
      <c r="O32" s="1"/>
      <c r="P32" s="1">
        <v>1500</v>
      </c>
    </row>
    <row r="33" spans="1:16" ht="12.75">
      <c r="A33" s="3" t="s">
        <v>664</v>
      </c>
      <c r="B33" s="1"/>
      <c r="C33" s="1"/>
      <c r="D33" s="1"/>
      <c r="E33" s="1"/>
      <c r="F33" s="1"/>
      <c r="G33" s="1"/>
      <c r="H33" s="1"/>
      <c r="I33" s="1">
        <v>26488.12</v>
      </c>
      <c r="J33" s="1"/>
      <c r="K33" s="1"/>
      <c r="L33" s="1"/>
      <c r="M33" s="1"/>
      <c r="N33" s="1"/>
      <c r="O33" s="1"/>
      <c r="P33" s="1">
        <v>26488.12</v>
      </c>
    </row>
    <row r="34" spans="1:16" ht="12.75">
      <c r="A34" s="3" t="s">
        <v>359</v>
      </c>
      <c r="B34" s="1"/>
      <c r="C34" s="1"/>
      <c r="D34" s="1">
        <v>1656.64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>
        <f t="shared" si="0"/>
        <v>1656.64</v>
      </c>
    </row>
    <row r="35" spans="1:16" ht="12.75">
      <c r="A35" s="3" t="s">
        <v>1</v>
      </c>
      <c r="B35" s="1"/>
      <c r="C35" s="1"/>
      <c r="D35" s="1"/>
      <c r="E35" s="1"/>
      <c r="F35" s="1"/>
      <c r="G35" s="1"/>
      <c r="H35" s="1">
        <v>4833.33</v>
      </c>
      <c r="I35" s="1"/>
      <c r="J35" s="1"/>
      <c r="K35" s="1"/>
      <c r="L35" s="1"/>
      <c r="M35" s="1"/>
      <c r="N35" s="1"/>
      <c r="O35" s="1"/>
      <c r="P35" s="1">
        <v>4833.33</v>
      </c>
    </row>
    <row r="36" spans="1:16" ht="22.5">
      <c r="A36" s="3" t="s">
        <v>248</v>
      </c>
      <c r="B36" s="1"/>
      <c r="C36" s="1"/>
      <c r="D36" s="1">
        <v>414.16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>
        <f t="shared" si="0"/>
        <v>414.16</v>
      </c>
    </row>
    <row r="37" spans="1:16" ht="13.5" customHeight="1">
      <c r="A37" s="3" t="s">
        <v>662</v>
      </c>
      <c r="B37" s="1"/>
      <c r="C37" s="1"/>
      <c r="D37" s="1"/>
      <c r="E37" s="1"/>
      <c r="F37" s="1">
        <v>1334.8</v>
      </c>
      <c r="G37" s="1"/>
      <c r="H37" s="1"/>
      <c r="I37" s="1"/>
      <c r="J37" s="1"/>
      <c r="K37" s="1"/>
      <c r="L37" s="1"/>
      <c r="M37" s="1"/>
      <c r="N37" s="1"/>
      <c r="O37" s="1"/>
      <c r="P37" s="1">
        <f>SUM(C37:O37)</f>
        <v>1334.8</v>
      </c>
    </row>
    <row r="38" spans="1:16" ht="12.75">
      <c r="A38" s="1" t="s">
        <v>415</v>
      </c>
      <c r="B38" s="1"/>
      <c r="C38" s="1">
        <f aca="true" t="shared" si="1" ref="C38:O38">SUM(C4:C37)</f>
        <v>20573.323</v>
      </c>
      <c r="D38" s="1">
        <f t="shared" si="1"/>
        <v>24068.443</v>
      </c>
      <c r="E38" s="1">
        <f t="shared" si="1"/>
        <v>99464.42300000001</v>
      </c>
      <c r="F38" s="1">
        <f t="shared" si="1"/>
        <v>30353.683</v>
      </c>
      <c r="G38" s="1">
        <f t="shared" si="1"/>
        <v>20073.323</v>
      </c>
      <c r="H38" s="1">
        <f t="shared" si="1"/>
        <v>38653.45</v>
      </c>
      <c r="I38" s="1">
        <f t="shared" si="1"/>
        <v>46818.009999999995</v>
      </c>
      <c r="J38" s="1">
        <f t="shared" si="1"/>
        <v>20329.89</v>
      </c>
      <c r="K38" s="1">
        <f t="shared" si="1"/>
        <v>0</v>
      </c>
      <c r="L38" s="1">
        <f t="shared" si="1"/>
        <v>0</v>
      </c>
      <c r="M38" s="1">
        <f t="shared" si="1"/>
        <v>0</v>
      </c>
      <c r="N38" s="1">
        <f t="shared" si="1"/>
        <v>0</v>
      </c>
      <c r="O38" s="1">
        <f t="shared" si="1"/>
        <v>0</v>
      </c>
      <c r="P38" s="1">
        <f>SUM(P4:P37)</f>
        <v>300334.985</v>
      </c>
    </row>
    <row r="39" spans="1:16" ht="12.75">
      <c r="A39" s="1" t="s">
        <v>419</v>
      </c>
      <c r="B39" s="1"/>
      <c r="C39" s="1">
        <v>23076.78</v>
      </c>
      <c r="D39" s="1">
        <v>21727.4</v>
      </c>
      <c r="E39" s="1">
        <v>41095.61</v>
      </c>
      <c r="F39" s="1">
        <v>32461.85</v>
      </c>
      <c r="G39" s="1">
        <v>42133.08</v>
      </c>
      <c r="H39" s="1">
        <v>29481.45</v>
      </c>
      <c r="I39" s="1">
        <v>32399.96</v>
      </c>
      <c r="J39" s="1">
        <v>33974.25</v>
      </c>
      <c r="K39" s="1"/>
      <c r="L39" s="1"/>
      <c r="M39" s="1"/>
      <c r="N39" s="1"/>
      <c r="O39" s="23"/>
      <c r="P39" s="1">
        <f>SUM(C39:O39)</f>
        <v>256350.38000000003</v>
      </c>
    </row>
    <row r="40" spans="1:16" s="12" customFormat="1" ht="12.75">
      <c r="A40" s="1" t="s">
        <v>606</v>
      </c>
      <c r="C40" s="1"/>
      <c r="D40" s="1"/>
      <c r="E40" s="1">
        <v>18369.12</v>
      </c>
      <c r="F40" s="1">
        <f>19331.88+20825.17</f>
        <v>40157.05</v>
      </c>
      <c r="G40" s="1">
        <f>4596.2+1861.02</f>
        <v>6457.219999999999</v>
      </c>
      <c r="H40" s="1"/>
      <c r="I40" s="1">
        <v>9184.56</v>
      </c>
      <c r="J40" s="1">
        <v>7444.08</v>
      </c>
      <c r="K40" s="1"/>
      <c r="L40" s="1"/>
      <c r="M40" s="1"/>
      <c r="N40" s="1"/>
      <c r="P40" s="1">
        <f>SUM(C40:O40)+2400</f>
        <v>84012.03</v>
      </c>
    </row>
    <row r="41" spans="1:16" ht="12.75">
      <c r="A41" s="2" t="s">
        <v>420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>
        <f>P39+P40-P38+P1+P43+P44</f>
        <v>-17562.434999999954</v>
      </c>
    </row>
    <row r="42" spans="1:16" ht="12.75">
      <c r="A42" s="1"/>
      <c r="B42" s="62" t="s">
        <v>476</v>
      </c>
      <c r="C42" s="63"/>
      <c r="D42" s="63"/>
      <c r="E42" s="63"/>
      <c r="F42" s="64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 t="s">
        <v>603</v>
      </c>
      <c r="B43" s="1"/>
      <c r="C43" s="1"/>
      <c r="D43" s="1"/>
      <c r="E43" s="1"/>
      <c r="F43" s="1">
        <v>378</v>
      </c>
      <c r="G43" s="1"/>
      <c r="H43" s="1">
        <v>400</v>
      </c>
      <c r="I43" s="1"/>
      <c r="J43" s="1">
        <v>240</v>
      </c>
      <c r="K43" s="1"/>
      <c r="L43" s="1"/>
      <c r="M43" s="1"/>
      <c r="N43" s="1"/>
      <c r="O43" s="1"/>
      <c r="P43" s="1">
        <f>SUM(F43:O43)</f>
        <v>1018</v>
      </c>
    </row>
    <row r="44" spans="1:16" ht="12.75">
      <c r="A44" s="1" t="s">
        <v>527</v>
      </c>
      <c r="B44" s="1"/>
      <c r="C44" s="1"/>
      <c r="D44" s="1"/>
      <c r="E44" s="1"/>
      <c r="F44" s="1">
        <v>3675</v>
      </c>
      <c r="G44" s="1">
        <v>1513.5</v>
      </c>
      <c r="H44" s="1">
        <v>600</v>
      </c>
      <c r="I44" s="1"/>
      <c r="J44" s="1">
        <v>140</v>
      </c>
      <c r="K44" s="1"/>
      <c r="L44" s="1"/>
      <c r="M44" s="1"/>
      <c r="N44" s="1"/>
      <c r="O44" s="1"/>
      <c r="P44" s="1">
        <f>SUM(F44:O44)</f>
        <v>5928.5</v>
      </c>
    </row>
    <row r="46" ht="12.75">
      <c r="G46" s="14" t="s">
        <v>428</v>
      </c>
    </row>
  </sheetData>
  <sheetProtection/>
  <mergeCells count="1">
    <mergeCell ref="B42:F42"/>
  </mergeCells>
  <printOptions/>
  <pageMargins left="0.7" right="0.7" top="0.75" bottom="0.75" header="0.3" footer="0.3"/>
  <pageSetup orientation="landscape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pane xSplit="4" ySplit="20" topLeftCell="E21" activePane="bottomRight" state="frozen"/>
      <selection pane="topLeft" activeCell="A1" sqref="A1"/>
      <selection pane="topRight" activeCell="E1" sqref="E1"/>
      <selection pane="bottomLeft" activeCell="A18" sqref="A18"/>
      <selection pane="bottomRight" activeCell="I14" sqref="I14"/>
    </sheetView>
  </sheetViews>
  <sheetFormatPr defaultColWidth="9.00390625" defaultRowHeight="12.75"/>
  <cols>
    <col min="1" max="1" width="28.875" style="21" customWidth="1"/>
    <col min="2" max="16384" width="9.125" style="21" customWidth="1"/>
  </cols>
  <sheetData>
    <row r="1" spans="1:16" ht="12.75">
      <c r="A1" s="2" t="s">
        <v>422</v>
      </c>
      <c r="B1" s="2">
        <v>2846.9</v>
      </c>
      <c r="C1" s="2"/>
      <c r="D1" s="2"/>
      <c r="E1" s="2"/>
      <c r="F1" s="2"/>
      <c r="G1" s="2"/>
      <c r="H1" s="2"/>
      <c r="I1" s="2"/>
      <c r="J1" s="2"/>
      <c r="K1" s="2" t="s">
        <v>463</v>
      </c>
      <c r="L1" s="2"/>
      <c r="M1" s="2"/>
      <c r="N1" s="2"/>
      <c r="O1" s="2"/>
      <c r="P1" s="2">
        <v>38794.46</v>
      </c>
    </row>
    <row r="2" spans="1:16" ht="12.75">
      <c r="A2" s="1" t="s">
        <v>421</v>
      </c>
      <c r="B2" s="1">
        <f>PRODUCT(B1,11.2)</f>
        <v>31885.28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2" t="s">
        <v>409</v>
      </c>
      <c r="B3" s="2" t="s">
        <v>410</v>
      </c>
      <c r="C3" s="2" t="s">
        <v>434</v>
      </c>
      <c r="D3" s="2" t="s">
        <v>438</v>
      </c>
      <c r="E3" s="2" t="s">
        <v>437</v>
      </c>
      <c r="F3" s="2" t="s">
        <v>436</v>
      </c>
      <c r="G3" s="2" t="s">
        <v>413</v>
      </c>
      <c r="H3" s="2" t="s">
        <v>414</v>
      </c>
      <c r="I3" s="2" t="s">
        <v>416</v>
      </c>
      <c r="J3" s="2" t="s">
        <v>417</v>
      </c>
      <c r="K3" s="2" t="s">
        <v>423</v>
      </c>
      <c r="L3" s="2" t="s">
        <v>424</v>
      </c>
      <c r="M3" s="2" t="s">
        <v>425</v>
      </c>
      <c r="N3" s="2" t="s">
        <v>426</v>
      </c>
      <c r="O3" s="2" t="s">
        <v>434</v>
      </c>
      <c r="P3" s="2" t="s">
        <v>427</v>
      </c>
    </row>
    <row r="4" spans="1:16" ht="12.75">
      <c r="A4" s="1" t="s">
        <v>411</v>
      </c>
      <c r="B4" s="1">
        <v>1.57</v>
      </c>
      <c r="C4" s="1">
        <f>B4*B1</f>
        <v>4469.633000000001</v>
      </c>
      <c r="D4" s="1">
        <f>B4*B1</f>
        <v>4469.633000000001</v>
      </c>
      <c r="E4" s="1">
        <f>B4*B1</f>
        <v>4469.633000000001</v>
      </c>
      <c r="F4" s="1">
        <f>B4*B1</f>
        <v>4469.633000000001</v>
      </c>
      <c r="G4" s="1">
        <v>4469.63</v>
      </c>
      <c r="H4" s="1">
        <f>B4*B1</f>
        <v>4469.633000000001</v>
      </c>
      <c r="I4" s="1">
        <v>4469.63</v>
      </c>
      <c r="J4" s="1">
        <v>4469.63</v>
      </c>
      <c r="K4" s="1"/>
      <c r="L4" s="1"/>
      <c r="M4" s="1"/>
      <c r="N4" s="1"/>
      <c r="O4" s="1"/>
      <c r="P4" s="1">
        <f aca="true" t="shared" si="0" ref="P4:P29">SUM(C4:O4)</f>
        <v>35757.05500000001</v>
      </c>
    </row>
    <row r="5" spans="1:16" ht="12.75">
      <c r="A5" s="1" t="s">
        <v>452</v>
      </c>
      <c r="B5" s="1">
        <v>1.6</v>
      </c>
      <c r="C5" s="1">
        <f>B5*B1</f>
        <v>4555.04</v>
      </c>
      <c r="D5" s="1">
        <f>B5*B1</f>
        <v>4555.04</v>
      </c>
      <c r="E5" s="1">
        <f>B5*B1</f>
        <v>4555.04</v>
      </c>
      <c r="F5" s="1">
        <f>B5*B1</f>
        <v>4555.04</v>
      </c>
      <c r="G5" s="1">
        <v>4555.04</v>
      </c>
      <c r="H5" s="1">
        <v>4555.04</v>
      </c>
      <c r="I5" s="1">
        <v>4555.04</v>
      </c>
      <c r="J5" s="1">
        <v>4555.04</v>
      </c>
      <c r="K5" s="1"/>
      <c r="L5" s="1"/>
      <c r="M5" s="1"/>
      <c r="N5" s="1"/>
      <c r="O5" s="1"/>
      <c r="P5" s="1">
        <f t="shared" si="0"/>
        <v>36440.32</v>
      </c>
    </row>
    <row r="6" spans="1:16" ht="12.75">
      <c r="A6" s="1" t="s">
        <v>412</v>
      </c>
      <c r="B6" s="1">
        <v>1.6</v>
      </c>
      <c r="C6" s="1">
        <f>B6*B1</f>
        <v>4555.04</v>
      </c>
      <c r="D6" s="1">
        <f>B6*B1</f>
        <v>4555.04</v>
      </c>
      <c r="E6" s="1">
        <f>B6*B1</f>
        <v>4555.04</v>
      </c>
      <c r="F6" s="1">
        <f>B6*B1</f>
        <v>4555.04</v>
      </c>
      <c r="G6" s="1">
        <v>4555.04</v>
      </c>
      <c r="H6" s="1">
        <v>4555.04</v>
      </c>
      <c r="I6" s="1">
        <v>4555.04</v>
      </c>
      <c r="J6" s="1">
        <v>4555.04</v>
      </c>
      <c r="K6" s="1"/>
      <c r="L6" s="1"/>
      <c r="M6" s="1"/>
      <c r="N6" s="1"/>
      <c r="O6" s="1"/>
      <c r="P6" s="1">
        <f t="shared" si="0"/>
        <v>36440.32</v>
      </c>
    </row>
    <row r="7" spans="1:16" ht="12.75">
      <c r="A7" s="3" t="s">
        <v>261</v>
      </c>
      <c r="B7" s="1">
        <v>0.44</v>
      </c>
      <c r="C7" s="1">
        <v>1252.64</v>
      </c>
      <c r="D7" s="1">
        <v>1252.64</v>
      </c>
      <c r="E7" s="1">
        <v>1252.64</v>
      </c>
      <c r="F7" s="1">
        <v>1252.64</v>
      </c>
      <c r="G7" s="1">
        <v>1252.64</v>
      </c>
      <c r="H7" s="1">
        <v>1252.64</v>
      </c>
      <c r="I7" s="1">
        <v>1252.64</v>
      </c>
      <c r="J7" s="1">
        <v>1252.64</v>
      </c>
      <c r="K7" s="1"/>
      <c r="L7" s="1"/>
      <c r="M7" s="1"/>
      <c r="N7" s="1"/>
      <c r="O7" s="1"/>
      <c r="P7" s="1">
        <f t="shared" si="0"/>
        <v>10021.12</v>
      </c>
    </row>
    <row r="8" spans="1:16" ht="12.75">
      <c r="A8" s="3" t="s">
        <v>393</v>
      </c>
      <c r="B8" s="1"/>
      <c r="C8" s="1">
        <v>3119</v>
      </c>
      <c r="D8" s="1">
        <v>3119</v>
      </c>
      <c r="E8" s="1">
        <v>3119</v>
      </c>
      <c r="F8" s="1">
        <v>3119</v>
      </c>
      <c r="G8" s="1">
        <v>3119</v>
      </c>
      <c r="H8" s="1">
        <v>3119</v>
      </c>
      <c r="I8" s="1">
        <v>3119</v>
      </c>
      <c r="J8" s="1"/>
      <c r="K8" s="1"/>
      <c r="L8" s="1"/>
      <c r="M8" s="1"/>
      <c r="N8" s="1"/>
      <c r="O8" s="1"/>
      <c r="P8" s="1">
        <f t="shared" si="0"/>
        <v>21833</v>
      </c>
    </row>
    <row r="9" spans="1:16" ht="12.75">
      <c r="A9" s="1" t="s">
        <v>429</v>
      </c>
      <c r="B9" s="1"/>
      <c r="C9" s="1">
        <v>130.96</v>
      </c>
      <c r="D9" s="1">
        <v>130.96</v>
      </c>
      <c r="E9" s="1">
        <v>130.96</v>
      </c>
      <c r="F9" s="1">
        <v>130.96</v>
      </c>
      <c r="G9" s="1">
        <v>130.96</v>
      </c>
      <c r="H9" s="1">
        <v>91.1</v>
      </c>
      <c r="I9" s="1">
        <v>654.79</v>
      </c>
      <c r="J9" s="1">
        <v>654.79</v>
      </c>
      <c r="K9" s="1"/>
      <c r="L9" s="1"/>
      <c r="M9" s="1"/>
      <c r="N9" s="1"/>
      <c r="O9" s="1"/>
      <c r="P9" s="1">
        <f t="shared" si="0"/>
        <v>2055.48</v>
      </c>
    </row>
    <row r="10" spans="1:16" ht="12.75">
      <c r="A10" s="1" t="s">
        <v>265</v>
      </c>
      <c r="B10" s="1"/>
      <c r="C10" s="1">
        <v>3119</v>
      </c>
      <c r="D10" s="1">
        <v>3119</v>
      </c>
      <c r="E10" s="1">
        <v>3119</v>
      </c>
      <c r="F10" s="1">
        <v>3119</v>
      </c>
      <c r="G10" s="1">
        <v>3119</v>
      </c>
      <c r="H10" s="1">
        <v>3119</v>
      </c>
      <c r="I10" s="1">
        <v>3119</v>
      </c>
      <c r="J10" s="1">
        <v>3119</v>
      </c>
      <c r="K10" s="1"/>
      <c r="L10" s="1"/>
      <c r="M10" s="1"/>
      <c r="N10" s="1"/>
      <c r="O10" s="1"/>
      <c r="P10" s="1">
        <f t="shared" si="0"/>
        <v>24952</v>
      </c>
    </row>
    <row r="11" spans="1:16" ht="22.5">
      <c r="A11" s="3" t="s">
        <v>500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>
        <f t="shared" si="0"/>
        <v>0</v>
      </c>
    </row>
    <row r="12" spans="1:16" ht="12.75">
      <c r="A12" s="1" t="s">
        <v>506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f t="shared" si="0"/>
        <v>0</v>
      </c>
    </row>
    <row r="13" spans="1:16" ht="12.75">
      <c r="A13" s="3" t="s">
        <v>513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 t="shared" si="0"/>
        <v>0</v>
      </c>
    </row>
    <row r="14" spans="1:16" ht="22.5">
      <c r="A14" s="3" t="s">
        <v>490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si="0"/>
        <v>0</v>
      </c>
    </row>
    <row r="15" spans="1:16" ht="22.5">
      <c r="A15" s="3" t="s">
        <v>716</v>
      </c>
      <c r="B15" s="1"/>
      <c r="C15" s="1"/>
      <c r="D15" s="1"/>
      <c r="E15" s="1"/>
      <c r="F15" s="1">
        <v>2882.48</v>
      </c>
      <c r="G15" s="1"/>
      <c r="H15" s="1"/>
      <c r="I15" s="1"/>
      <c r="J15" s="1"/>
      <c r="K15" s="1"/>
      <c r="L15" s="1"/>
      <c r="M15" s="1"/>
      <c r="N15" s="1"/>
      <c r="O15" s="1"/>
      <c r="P15" s="1">
        <f>SUM(C15:O15)</f>
        <v>2882.48</v>
      </c>
    </row>
    <row r="16" spans="1:16" ht="12.75">
      <c r="A16" s="3" t="s">
        <v>35</v>
      </c>
      <c r="B16" s="1"/>
      <c r="C16" s="1"/>
      <c r="D16" s="1"/>
      <c r="E16" s="1"/>
      <c r="F16" s="1"/>
      <c r="G16" s="1"/>
      <c r="H16" s="1"/>
      <c r="I16" s="1"/>
      <c r="J16" s="1">
        <v>2482.64</v>
      </c>
      <c r="K16" s="1"/>
      <c r="L16" s="1"/>
      <c r="M16" s="1"/>
      <c r="N16" s="1"/>
      <c r="O16" s="1"/>
      <c r="P16" s="1">
        <v>2482.64</v>
      </c>
    </row>
    <row r="17" spans="1:16" ht="22.5">
      <c r="A17" s="3" t="s">
        <v>499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si="0"/>
        <v>0</v>
      </c>
    </row>
    <row r="18" spans="1:16" ht="12.75">
      <c r="A18" s="3" t="s">
        <v>492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f t="shared" si="0"/>
        <v>0</v>
      </c>
    </row>
    <row r="19" spans="1:16" ht="12.75">
      <c r="A19" s="3" t="s">
        <v>507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f t="shared" si="0"/>
        <v>0</v>
      </c>
    </row>
    <row r="20" spans="1:16" ht="12.75">
      <c r="A20" s="3" t="s">
        <v>494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 t="shared" si="0"/>
        <v>0</v>
      </c>
    </row>
    <row r="21" spans="1:16" ht="22.5">
      <c r="A21" s="3" t="s">
        <v>234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f t="shared" si="0"/>
        <v>0</v>
      </c>
    </row>
    <row r="22" spans="1:16" ht="33.75">
      <c r="A22" s="3" t="s">
        <v>744</v>
      </c>
      <c r="B22" s="1"/>
      <c r="C22" s="1"/>
      <c r="D22" s="1"/>
      <c r="E22" s="1"/>
      <c r="F22" s="1"/>
      <c r="G22" s="1"/>
      <c r="H22" s="1">
        <v>16128.28</v>
      </c>
      <c r="I22" s="1"/>
      <c r="J22" s="1"/>
      <c r="K22" s="1"/>
      <c r="L22" s="1"/>
      <c r="M22" s="1"/>
      <c r="N22" s="1"/>
      <c r="O22" s="1"/>
      <c r="P22" s="1">
        <f t="shared" si="0"/>
        <v>16128.28</v>
      </c>
    </row>
    <row r="23" spans="1:16" ht="22.5">
      <c r="A23" s="3" t="s">
        <v>743</v>
      </c>
      <c r="B23" s="1"/>
      <c r="C23" s="1"/>
      <c r="D23" s="1"/>
      <c r="E23" s="1"/>
      <c r="F23" s="1"/>
      <c r="G23" s="1"/>
      <c r="H23" s="1">
        <v>4848.68</v>
      </c>
      <c r="I23" s="1"/>
      <c r="J23" s="1"/>
      <c r="K23" s="1"/>
      <c r="L23" s="1"/>
      <c r="M23" s="1"/>
      <c r="N23" s="1"/>
      <c r="O23" s="1"/>
      <c r="P23" s="1">
        <f t="shared" si="0"/>
        <v>4848.68</v>
      </c>
    </row>
    <row r="24" spans="1:16" ht="12.75">
      <c r="A24" s="3" t="s">
        <v>249</v>
      </c>
      <c r="B24" s="1"/>
      <c r="C24" s="1">
        <v>828.32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f t="shared" si="0"/>
        <v>828.32</v>
      </c>
    </row>
    <row r="25" spans="1:16" ht="33.75">
      <c r="A25" s="3" t="s">
        <v>633</v>
      </c>
      <c r="B25" s="1"/>
      <c r="C25" s="1"/>
      <c r="D25" s="1"/>
      <c r="E25" s="1"/>
      <c r="F25" s="1"/>
      <c r="G25" s="1">
        <v>1230.32</v>
      </c>
      <c r="H25" s="1"/>
      <c r="I25" s="1"/>
      <c r="J25" s="1"/>
      <c r="K25" s="1"/>
      <c r="L25" s="1"/>
      <c r="M25" s="1"/>
      <c r="N25" s="1"/>
      <c r="O25" s="1"/>
      <c r="P25" s="1">
        <f t="shared" si="0"/>
        <v>1230.32</v>
      </c>
    </row>
    <row r="26" spans="1:16" ht="22.5">
      <c r="A26" s="3" t="s">
        <v>260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>
        <f t="shared" si="0"/>
        <v>0</v>
      </c>
    </row>
    <row r="27" spans="1:16" ht="12.75">
      <c r="A27" s="3" t="s">
        <v>98</v>
      </c>
      <c r="B27" s="1"/>
      <c r="C27" s="1"/>
      <c r="D27" s="1"/>
      <c r="E27" s="1"/>
      <c r="F27" s="1"/>
      <c r="G27" s="1"/>
      <c r="H27" s="1"/>
      <c r="I27" s="1">
        <v>1734.32</v>
      </c>
      <c r="J27" s="1"/>
      <c r="K27" s="1"/>
      <c r="L27" s="1"/>
      <c r="M27" s="1"/>
      <c r="N27" s="1"/>
      <c r="O27" s="1"/>
      <c r="P27" s="1">
        <v>1734.32</v>
      </c>
    </row>
    <row r="28" spans="1:16" ht="12.75">
      <c r="A28" s="3" t="s">
        <v>497</v>
      </c>
      <c r="B28" s="1"/>
      <c r="C28" s="1"/>
      <c r="D28" s="1"/>
      <c r="E28" s="1"/>
      <c r="F28" s="1"/>
      <c r="G28" s="1">
        <v>15593</v>
      </c>
      <c r="H28" s="1"/>
      <c r="I28" s="1"/>
      <c r="J28" s="1"/>
      <c r="K28" s="1"/>
      <c r="L28" s="1"/>
      <c r="M28" s="1"/>
      <c r="N28" s="1"/>
      <c r="O28" s="1"/>
      <c r="P28" s="1">
        <f t="shared" si="0"/>
        <v>15593</v>
      </c>
    </row>
    <row r="29" spans="1:16" ht="12.75">
      <c r="A29" s="3" t="s">
        <v>528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>
        <f t="shared" si="0"/>
        <v>0</v>
      </c>
    </row>
    <row r="30" spans="1:16" ht="12.75">
      <c r="A30" s="1" t="s">
        <v>415</v>
      </c>
      <c r="B30" s="1"/>
      <c r="C30" s="1">
        <f aca="true" t="shared" si="1" ref="C30:O30">SUM(C4:C29)</f>
        <v>22029.632999999998</v>
      </c>
      <c r="D30" s="1">
        <f t="shared" si="1"/>
        <v>21201.313</v>
      </c>
      <c r="E30" s="1">
        <f t="shared" si="1"/>
        <v>21201.313</v>
      </c>
      <c r="F30" s="1">
        <f t="shared" si="1"/>
        <v>24083.792999999998</v>
      </c>
      <c r="G30" s="1">
        <f t="shared" si="1"/>
        <v>38024.63</v>
      </c>
      <c r="H30" s="1">
        <f t="shared" si="1"/>
        <v>42138.413</v>
      </c>
      <c r="I30" s="1">
        <f t="shared" si="1"/>
        <v>23459.46</v>
      </c>
      <c r="J30" s="1">
        <f t="shared" si="1"/>
        <v>21088.78</v>
      </c>
      <c r="K30" s="1">
        <f t="shared" si="1"/>
        <v>0</v>
      </c>
      <c r="L30" s="1">
        <f t="shared" si="1"/>
        <v>0</v>
      </c>
      <c r="M30" s="1">
        <f t="shared" si="1"/>
        <v>0</v>
      </c>
      <c r="N30" s="1">
        <f t="shared" si="1"/>
        <v>0</v>
      </c>
      <c r="O30" s="1">
        <f t="shared" si="1"/>
        <v>0</v>
      </c>
      <c r="P30" s="1">
        <f>SUM(P4:P20)</f>
        <v>172864.41500000004</v>
      </c>
    </row>
    <row r="31" spans="1:16" ht="12.75">
      <c r="A31" s="1" t="s">
        <v>419</v>
      </c>
      <c r="B31" s="1"/>
      <c r="C31" s="1">
        <v>29614.95</v>
      </c>
      <c r="D31" s="1">
        <v>34320.85</v>
      </c>
      <c r="E31" s="1">
        <v>38339.97</v>
      </c>
      <c r="F31" s="1">
        <v>36720.93</v>
      </c>
      <c r="G31" s="1">
        <v>38533.28</v>
      </c>
      <c r="H31" s="1">
        <v>46393.23</v>
      </c>
      <c r="I31" s="1">
        <v>41520.68</v>
      </c>
      <c r="J31" s="1">
        <v>38192.24</v>
      </c>
      <c r="K31" s="1"/>
      <c r="L31" s="1"/>
      <c r="M31" s="1"/>
      <c r="N31" s="1"/>
      <c r="O31" s="1"/>
      <c r="P31" s="1">
        <f>SUM(C31:O31)</f>
        <v>303636.13</v>
      </c>
    </row>
    <row r="32" spans="1:16" ht="12.75">
      <c r="A32" s="2" t="s">
        <v>420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>
        <f>P31+P33+P34-P30+P1</f>
        <v>176512.67499999996</v>
      </c>
    </row>
    <row r="33" spans="1:16" ht="12.75">
      <c r="A33" s="2" t="s">
        <v>603</v>
      </c>
      <c r="B33" s="2"/>
      <c r="C33" s="2"/>
      <c r="D33" s="2"/>
      <c r="E33" s="2"/>
      <c r="F33" s="2">
        <v>378</v>
      </c>
      <c r="G33" s="2"/>
      <c r="H33" s="2">
        <v>400</v>
      </c>
      <c r="I33" s="2"/>
      <c r="J33" s="2">
        <v>240</v>
      </c>
      <c r="K33" s="2"/>
      <c r="L33" s="2"/>
      <c r="M33" s="2"/>
      <c r="N33" s="2"/>
      <c r="O33" s="2"/>
      <c r="P33" s="2">
        <f>SUM(F33:O33)</f>
        <v>1018</v>
      </c>
    </row>
    <row r="34" spans="1:16" ht="12.75">
      <c r="A34" s="1" t="s">
        <v>527</v>
      </c>
      <c r="B34" s="1"/>
      <c r="C34" s="1"/>
      <c r="D34" s="1"/>
      <c r="E34" s="1"/>
      <c r="F34" s="1">
        <v>3675</v>
      </c>
      <c r="G34" s="1">
        <v>1513.5</v>
      </c>
      <c r="H34" s="1">
        <v>600</v>
      </c>
      <c r="I34" s="1"/>
      <c r="J34" s="1">
        <v>140</v>
      </c>
      <c r="K34" s="1"/>
      <c r="L34" s="1"/>
      <c r="M34" s="1"/>
      <c r="N34" s="1"/>
      <c r="O34" s="1"/>
      <c r="P34" s="1">
        <f>SUM(F34:O34)</f>
        <v>5928.5</v>
      </c>
    </row>
    <row r="35" spans="1:16" ht="12.75">
      <c r="A35" s="1"/>
      <c r="B35" s="62" t="s">
        <v>476</v>
      </c>
      <c r="C35" s="63"/>
      <c r="D35" s="63"/>
      <c r="E35" s="63"/>
      <c r="F35" s="64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>
        <f>SUM(I36:O36)</f>
        <v>0</v>
      </c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</sheetData>
  <sheetProtection/>
  <mergeCells count="1">
    <mergeCell ref="B35:F35"/>
  </mergeCells>
  <printOptions/>
  <pageMargins left="0.7" right="0.7" top="0.75" bottom="0.75" header="0.3" footer="0.3"/>
  <pageSetup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pane xSplit="6" ySplit="12" topLeftCell="G13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P35" sqref="P35"/>
    </sheetView>
  </sheetViews>
  <sheetFormatPr defaultColWidth="9.00390625" defaultRowHeight="12.75"/>
  <cols>
    <col min="1" max="1" width="34.375" style="14" customWidth="1"/>
    <col min="2" max="2" width="10.125" style="14" customWidth="1"/>
    <col min="3" max="3" width="7.25390625" style="14" customWidth="1"/>
    <col min="4" max="4" width="8.75390625" style="14" customWidth="1"/>
    <col min="5" max="5" width="7.125" style="14" customWidth="1"/>
    <col min="6" max="6" width="9.375" style="14" customWidth="1"/>
    <col min="7" max="7" width="8.375" style="14" customWidth="1"/>
    <col min="8" max="8" width="9.125" style="14" customWidth="1"/>
    <col min="9" max="9" width="7.25390625" style="14" customWidth="1"/>
    <col min="10" max="16384" width="9.125" style="14" customWidth="1"/>
  </cols>
  <sheetData>
    <row r="1" spans="1:16" s="12" customFormat="1" ht="12.75">
      <c r="A1" s="2" t="s">
        <v>422</v>
      </c>
      <c r="B1" s="2">
        <v>1501.2</v>
      </c>
      <c r="C1" s="2"/>
      <c r="D1" s="2"/>
      <c r="E1" s="2"/>
      <c r="F1" s="2"/>
      <c r="G1" s="2"/>
      <c r="H1" s="2" t="s">
        <v>418</v>
      </c>
      <c r="I1" s="2"/>
      <c r="J1" s="2"/>
      <c r="K1" s="2" t="s">
        <v>464</v>
      </c>
      <c r="L1" s="2"/>
      <c r="M1" s="2"/>
      <c r="N1" s="2"/>
      <c r="O1" s="2"/>
      <c r="P1" s="2">
        <v>-65946.51</v>
      </c>
    </row>
    <row r="2" spans="1:16" ht="12.75">
      <c r="A2" s="1" t="s">
        <v>421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2" customFormat="1" ht="12.75">
      <c r="A3" s="2" t="s">
        <v>409</v>
      </c>
      <c r="B3" s="2" t="s">
        <v>410</v>
      </c>
      <c r="C3" s="2" t="s">
        <v>434</v>
      </c>
      <c r="D3" s="2" t="s">
        <v>438</v>
      </c>
      <c r="E3" s="2" t="s">
        <v>437</v>
      </c>
      <c r="F3" s="2" t="s">
        <v>436</v>
      </c>
      <c r="G3" s="2" t="s">
        <v>413</v>
      </c>
      <c r="H3" s="2" t="s">
        <v>414</v>
      </c>
      <c r="I3" s="2" t="s">
        <v>416</v>
      </c>
      <c r="J3" s="2" t="s">
        <v>417</v>
      </c>
      <c r="K3" s="2" t="s">
        <v>423</v>
      </c>
      <c r="L3" s="2" t="s">
        <v>424</v>
      </c>
      <c r="M3" s="2" t="s">
        <v>425</v>
      </c>
      <c r="N3" s="2" t="s">
        <v>426</v>
      </c>
      <c r="O3" s="2" t="s">
        <v>434</v>
      </c>
      <c r="P3" s="2" t="s">
        <v>427</v>
      </c>
    </row>
    <row r="4" spans="1:16" ht="12.75">
      <c r="A4" s="1" t="s">
        <v>411</v>
      </c>
      <c r="B4" s="1">
        <v>1.57</v>
      </c>
      <c r="C4" s="1">
        <f>B4*B1</f>
        <v>2356.884</v>
      </c>
      <c r="D4" s="1">
        <f>B4*B1</f>
        <v>2356.884</v>
      </c>
      <c r="E4" s="1">
        <f>B4*B1</f>
        <v>2356.884</v>
      </c>
      <c r="F4" s="1">
        <f>B4*B1</f>
        <v>2356.884</v>
      </c>
      <c r="G4" s="1">
        <f>B4*B1</f>
        <v>2356.884</v>
      </c>
      <c r="H4" s="1">
        <v>2356.88</v>
      </c>
      <c r="I4" s="1">
        <v>2356.88</v>
      </c>
      <c r="J4" s="1">
        <v>2356.88</v>
      </c>
      <c r="K4" s="1"/>
      <c r="L4" s="1"/>
      <c r="M4" s="1"/>
      <c r="N4" s="1"/>
      <c r="O4" s="1"/>
      <c r="P4" s="1">
        <f aca="true" t="shared" si="0" ref="P4:P12">SUM(C4:O4)</f>
        <v>18855.06</v>
      </c>
    </row>
    <row r="5" spans="1:16" ht="12.75">
      <c r="A5" s="1" t="s">
        <v>451</v>
      </c>
      <c r="B5" s="1">
        <v>1.6</v>
      </c>
      <c r="C5" s="1">
        <f>B5*B1</f>
        <v>2401.92</v>
      </c>
      <c r="D5" s="1">
        <f>B5*B1</f>
        <v>2401.92</v>
      </c>
      <c r="E5" s="1">
        <f>B5*B1</f>
        <v>2401.92</v>
      </c>
      <c r="F5" s="1">
        <f>B5*B1</f>
        <v>2401.92</v>
      </c>
      <c r="G5" s="1">
        <f>B5*B1</f>
        <v>2401.92</v>
      </c>
      <c r="H5" s="1">
        <v>2401.92</v>
      </c>
      <c r="I5" s="1">
        <v>2401.92</v>
      </c>
      <c r="J5" s="1">
        <v>2401.92</v>
      </c>
      <c r="K5" s="1"/>
      <c r="L5" s="1"/>
      <c r="M5" s="1"/>
      <c r="N5" s="1"/>
      <c r="O5" s="1"/>
      <c r="P5" s="1">
        <f t="shared" si="0"/>
        <v>19215.36</v>
      </c>
    </row>
    <row r="6" spans="1:16" ht="12.75">
      <c r="A6" s="1" t="s">
        <v>412</v>
      </c>
      <c r="B6" s="1">
        <v>1.6</v>
      </c>
      <c r="C6" s="1">
        <f>B6*B1</f>
        <v>2401.92</v>
      </c>
      <c r="D6" s="1">
        <f>B6*B1</f>
        <v>2401.92</v>
      </c>
      <c r="E6" s="1">
        <f>B6*B1</f>
        <v>2401.92</v>
      </c>
      <c r="F6" s="1">
        <f>B6*B1</f>
        <v>2401.92</v>
      </c>
      <c r="G6" s="1">
        <f>B6*B1</f>
        <v>2401.92</v>
      </c>
      <c r="H6" s="1">
        <v>2401.92</v>
      </c>
      <c r="I6" s="1">
        <v>2401.92</v>
      </c>
      <c r="J6" s="1">
        <v>2401.92</v>
      </c>
      <c r="K6" s="1"/>
      <c r="L6" s="1"/>
      <c r="M6" s="1"/>
      <c r="N6" s="1"/>
      <c r="O6" s="1"/>
      <c r="P6" s="1">
        <f t="shared" si="0"/>
        <v>19215.36</v>
      </c>
    </row>
    <row r="7" spans="1:16" ht="12.75">
      <c r="A7" s="1" t="s">
        <v>469</v>
      </c>
      <c r="B7" s="1">
        <v>0.44</v>
      </c>
      <c r="C7" s="1">
        <f>B7*B1</f>
        <v>660.528</v>
      </c>
      <c r="D7" s="1">
        <f>B7*B1</f>
        <v>660.528</v>
      </c>
      <c r="E7" s="1">
        <f>B7*B1</f>
        <v>660.528</v>
      </c>
      <c r="F7" s="1">
        <f>B7*B1</f>
        <v>660.528</v>
      </c>
      <c r="G7" s="1">
        <f>B7*B1</f>
        <v>660.528</v>
      </c>
      <c r="H7" s="1">
        <v>660.53</v>
      </c>
      <c r="I7" s="1">
        <v>660.53</v>
      </c>
      <c r="J7" s="1">
        <v>660.53</v>
      </c>
      <c r="K7" s="1"/>
      <c r="L7" s="1"/>
      <c r="M7" s="1"/>
      <c r="N7" s="1"/>
      <c r="O7" s="1"/>
      <c r="P7" s="1">
        <f t="shared" si="0"/>
        <v>5284.23</v>
      </c>
    </row>
    <row r="8" spans="1:16" ht="12.75">
      <c r="A8" s="1" t="s">
        <v>435</v>
      </c>
      <c r="B8" s="1">
        <v>0.66</v>
      </c>
      <c r="C8" s="1">
        <f>B8*B1</f>
        <v>990.792</v>
      </c>
      <c r="D8" s="1">
        <f>B8*B1</f>
        <v>990.792</v>
      </c>
      <c r="E8" s="1">
        <f>B8*B1</f>
        <v>990.792</v>
      </c>
      <c r="F8" s="1">
        <f>B8*B1</f>
        <v>990.792</v>
      </c>
      <c r="G8" s="1">
        <f>B8*B1</f>
        <v>990.792</v>
      </c>
      <c r="H8" s="1">
        <v>990.79</v>
      </c>
      <c r="I8" s="1">
        <v>990.79</v>
      </c>
      <c r="J8" s="1">
        <v>990.79</v>
      </c>
      <c r="K8" s="1"/>
      <c r="L8" s="1"/>
      <c r="M8" s="1"/>
      <c r="N8" s="1"/>
      <c r="O8" s="1"/>
      <c r="P8" s="1">
        <f t="shared" si="0"/>
        <v>7926.33</v>
      </c>
    </row>
    <row r="9" spans="1:16" ht="12.75">
      <c r="A9" s="3" t="s">
        <v>253</v>
      </c>
      <c r="B9" s="1"/>
      <c r="C9" s="1">
        <v>2034</v>
      </c>
      <c r="D9" s="1">
        <v>2034</v>
      </c>
      <c r="E9" s="1">
        <v>2034</v>
      </c>
      <c r="F9" s="1">
        <v>2034</v>
      </c>
      <c r="G9" s="1">
        <v>2034</v>
      </c>
      <c r="H9" s="1">
        <v>2034</v>
      </c>
      <c r="I9" s="1">
        <v>2034</v>
      </c>
      <c r="J9" s="1">
        <v>2034</v>
      </c>
      <c r="K9" s="1"/>
      <c r="L9" s="1"/>
      <c r="M9" s="1"/>
      <c r="N9" s="1"/>
      <c r="O9" s="1"/>
      <c r="P9" s="1">
        <f t="shared" si="0"/>
        <v>16272</v>
      </c>
    </row>
    <row r="10" spans="1:16" ht="12.75">
      <c r="A10" s="1" t="s">
        <v>520</v>
      </c>
      <c r="B10" s="1"/>
      <c r="C10" s="1">
        <v>2034</v>
      </c>
      <c r="D10" s="1">
        <v>2034</v>
      </c>
      <c r="E10" s="1">
        <v>2034</v>
      </c>
      <c r="F10" s="1">
        <v>2034</v>
      </c>
      <c r="G10" s="1">
        <v>2034</v>
      </c>
      <c r="H10" s="1">
        <v>2034</v>
      </c>
      <c r="I10" s="1">
        <v>2034</v>
      </c>
      <c r="J10" s="1">
        <v>2034</v>
      </c>
      <c r="K10" s="1"/>
      <c r="L10" s="1"/>
      <c r="M10" s="1"/>
      <c r="N10" s="1"/>
      <c r="O10" s="1"/>
      <c r="P10" s="1">
        <f t="shared" si="0"/>
        <v>16272</v>
      </c>
    </row>
    <row r="11" spans="1:16" ht="12.75">
      <c r="A11" s="1" t="s">
        <v>262</v>
      </c>
      <c r="B11" s="1"/>
      <c r="C11" s="1">
        <v>500</v>
      </c>
      <c r="D11" s="1">
        <v>500</v>
      </c>
      <c r="E11" s="1">
        <v>500</v>
      </c>
      <c r="F11" s="1">
        <v>500</v>
      </c>
      <c r="G11" s="1">
        <v>0</v>
      </c>
      <c r="H11" s="1"/>
      <c r="I11" s="1"/>
      <c r="J11" s="1"/>
      <c r="K11" s="1"/>
      <c r="L11" s="1"/>
      <c r="M11" s="1"/>
      <c r="N11" s="1"/>
      <c r="O11" s="1"/>
      <c r="P11" s="1">
        <f t="shared" si="0"/>
        <v>2000</v>
      </c>
    </row>
    <row r="12" spans="1:16" ht="12.75">
      <c r="A12" s="3" t="s">
        <v>429</v>
      </c>
      <c r="B12" s="1"/>
      <c r="C12" s="1">
        <v>69.06</v>
      </c>
      <c r="D12" s="1">
        <v>69.06</v>
      </c>
      <c r="E12" s="1">
        <v>69.06</v>
      </c>
      <c r="F12" s="1">
        <v>69.06</v>
      </c>
      <c r="G12" s="1">
        <v>69.06</v>
      </c>
      <c r="H12" s="1">
        <v>48.04</v>
      </c>
      <c r="I12" s="1">
        <v>217.67</v>
      </c>
      <c r="J12" s="1">
        <v>217.67</v>
      </c>
      <c r="K12" s="1"/>
      <c r="L12" s="1"/>
      <c r="M12" s="1"/>
      <c r="N12" s="1"/>
      <c r="O12" s="1"/>
      <c r="P12" s="1">
        <f t="shared" si="0"/>
        <v>828.68</v>
      </c>
    </row>
    <row r="13" spans="1:16" ht="22.5">
      <c r="A13" s="3" t="s">
        <v>535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 aca="true" t="shared" si="1" ref="P13:P28">SUM(C13:O13)</f>
        <v>0</v>
      </c>
    </row>
    <row r="14" spans="1:16" ht="12.75">
      <c r="A14" s="3" t="s">
        <v>497</v>
      </c>
      <c r="B14" s="1"/>
      <c r="C14" s="1"/>
      <c r="D14" s="1"/>
      <c r="E14" s="1"/>
      <c r="F14" s="1"/>
      <c r="G14" s="1">
        <v>10262</v>
      </c>
      <c r="H14" s="1"/>
      <c r="I14" s="1"/>
      <c r="J14" s="1"/>
      <c r="K14" s="1"/>
      <c r="L14" s="1"/>
      <c r="M14" s="1"/>
      <c r="N14" s="1"/>
      <c r="O14" s="1"/>
      <c r="P14" s="1">
        <f t="shared" si="1"/>
        <v>10262</v>
      </c>
    </row>
    <row r="15" spans="1:16" ht="12.75">
      <c r="A15" s="3" t="s">
        <v>234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f t="shared" si="1"/>
        <v>0</v>
      </c>
    </row>
    <row r="16" spans="1:16" ht="22.5">
      <c r="A16" s="3" t="s">
        <v>534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f t="shared" si="1"/>
        <v>0</v>
      </c>
    </row>
    <row r="17" spans="1:16" ht="12.75">
      <c r="A17" s="3" t="s">
        <v>492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si="1"/>
        <v>0</v>
      </c>
    </row>
    <row r="18" spans="1:16" ht="12.75">
      <c r="A18" s="3" t="s">
        <v>507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f t="shared" si="1"/>
        <v>0</v>
      </c>
    </row>
    <row r="19" spans="1:16" ht="12.75">
      <c r="A19" s="3" t="s">
        <v>494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f t="shared" si="1"/>
        <v>0</v>
      </c>
    </row>
    <row r="20" spans="1:16" ht="12.75">
      <c r="A20" s="3" t="s">
        <v>225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 t="shared" si="1"/>
        <v>0</v>
      </c>
    </row>
    <row r="21" spans="1:16" ht="12.75">
      <c r="A21" s="3" t="s">
        <v>664</v>
      </c>
      <c r="B21" s="1"/>
      <c r="C21" s="1"/>
      <c r="D21" s="1"/>
      <c r="E21" s="1"/>
      <c r="F21" s="1"/>
      <c r="G21" s="1"/>
      <c r="H21" s="1"/>
      <c r="I21" s="1"/>
      <c r="J21" s="1">
        <f>924.16+657.08</f>
        <v>1581.24</v>
      </c>
      <c r="K21" s="1"/>
      <c r="L21" s="1"/>
      <c r="M21" s="1"/>
      <c r="N21" s="1"/>
      <c r="O21" s="1"/>
      <c r="P21" s="1">
        <v>1581.24</v>
      </c>
    </row>
    <row r="22" spans="1:16" ht="12.75">
      <c r="A22" s="3" t="s">
        <v>250</v>
      </c>
      <c r="B22" s="1"/>
      <c r="C22" s="1"/>
      <c r="D22" s="1"/>
      <c r="E22" s="1"/>
      <c r="F22" s="1">
        <v>114</v>
      </c>
      <c r="G22" s="1"/>
      <c r="H22" s="1"/>
      <c r="I22" s="1"/>
      <c r="J22" s="1"/>
      <c r="K22" s="1"/>
      <c r="L22" s="1"/>
      <c r="M22" s="1"/>
      <c r="N22" s="1"/>
      <c r="O22" s="1"/>
      <c r="P22" s="1">
        <f t="shared" si="1"/>
        <v>114</v>
      </c>
    </row>
    <row r="23" spans="1:16" ht="12.75">
      <c r="A23" s="3" t="s">
        <v>251</v>
      </c>
      <c r="B23" s="1"/>
      <c r="C23" s="1"/>
      <c r="D23" s="1"/>
      <c r="E23" s="1"/>
      <c r="F23" s="1">
        <v>1449.56</v>
      </c>
      <c r="G23" s="1"/>
      <c r="H23" s="1"/>
      <c r="I23" s="1"/>
      <c r="J23" s="1"/>
      <c r="K23" s="1"/>
      <c r="L23" s="1"/>
      <c r="M23" s="1"/>
      <c r="N23" s="1"/>
      <c r="O23" s="1"/>
      <c r="P23" s="1">
        <f t="shared" si="1"/>
        <v>1449.56</v>
      </c>
    </row>
    <row r="24" spans="1:16" ht="12.75">
      <c r="A24" s="3" t="s">
        <v>524</v>
      </c>
      <c r="B24" s="1"/>
      <c r="C24" s="1"/>
      <c r="D24" s="1"/>
      <c r="E24" s="1"/>
      <c r="F24" s="1"/>
      <c r="G24" s="1">
        <v>6486.64</v>
      </c>
      <c r="H24" s="1"/>
      <c r="I24" s="1"/>
      <c r="J24" s="1"/>
      <c r="K24" s="1"/>
      <c r="L24" s="1"/>
      <c r="M24" s="1"/>
      <c r="N24" s="1"/>
      <c r="O24" s="1"/>
      <c r="P24" s="1">
        <f>SUM(C24:O24)</f>
        <v>6486.64</v>
      </c>
    </row>
    <row r="25" spans="1:16" ht="22.5">
      <c r="A25" s="3" t="s">
        <v>83</v>
      </c>
      <c r="B25" s="1"/>
      <c r="C25" s="1"/>
      <c r="D25" s="1"/>
      <c r="E25" s="1"/>
      <c r="F25" s="1"/>
      <c r="G25" s="1"/>
      <c r="H25" s="1"/>
      <c r="I25" s="1"/>
      <c r="J25" s="1">
        <v>1500</v>
      </c>
      <c r="K25" s="1"/>
      <c r="L25" s="1"/>
      <c r="M25" s="1"/>
      <c r="N25" s="1"/>
      <c r="O25" s="1"/>
      <c r="P25" s="1">
        <v>1500</v>
      </c>
    </row>
    <row r="26" spans="1:16" ht="22.5">
      <c r="A26" s="3" t="s">
        <v>252</v>
      </c>
      <c r="B26" s="1"/>
      <c r="C26" s="1"/>
      <c r="D26" s="1">
        <v>1056.32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>
        <f t="shared" si="1"/>
        <v>1056.32</v>
      </c>
    </row>
    <row r="27" spans="1:16" ht="22.5">
      <c r="A27" s="3" t="s">
        <v>6</v>
      </c>
      <c r="B27" s="1"/>
      <c r="C27" s="1">
        <v>19578.49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>
        <f t="shared" si="1"/>
        <v>19578.49</v>
      </c>
    </row>
    <row r="28" spans="1:16" ht="12.75">
      <c r="A28" s="3" t="s">
        <v>672</v>
      </c>
      <c r="B28" s="1"/>
      <c r="C28" s="1"/>
      <c r="D28" s="1"/>
      <c r="E28" s="1">
        <v>25000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>
        <f t="shared" si="1"/>
        <v>25000</v>
      </c>
    </row>
    <row r="29" spans="1:16" ht="12.75">
      <c r="A29" s="1" t="s">
        <v>415</v>
      </c>
      <c r="B29" s="1"/>
      <c r="C29" s="1">
        <f aca="true" t="shared" si="2" ref="C29:P29">SUM(C4:C28)</f>
        <v>33027.594</v>
      </c>
      <c r="D29" s="1">
        <f t="shared" si="2"/>
        <v>14505.423999999999</v>
      </c>
      <c r="E29" s="1">
        <f t="shared" si="2"/>
        <v>38449.104</v>
      </c>
      <c r="F29" s="1">
        <f t="shared" si="2"/>
        <v>15012.663999999999</v>
      </c>
      <c r="G29" s="1">
        <f t="shared" si="2"/>
        <v>29697.744</v>
      </c>
      <c r="H29" s="1">
        <f t="shared" si="2"/>
        <v>12928.080000000002</v>
      </c>
      <c r="I29" s="1">
        <f t="shared" si="2"/>
        <v>13097.710000000001</v>
      </c>
      <c r="J29" s="1">
        <f t="shared" si="2"/>
        <v>16178.95</v>
      </c>
      <c r="K29" s="1">
        <f t="shared" si="2"/>
        <v>0</v>
      </c>
      <c r="L29" s="1">
        <f t="shared" si="2"/>
        <v>0</v>
      </c>
      <c r="M29" s="1">
        <f t="shared" si="2"/>
        <v>0</v>
      </c>
      <c r="N29" s="1">
        <f t="shared" si="2"/>
        <v>0</v>
      </c>
      <c r="O29" s="1">
        <f t="shared" si="2"/>
        <v>0</v>
      </c>
      <c r="P29" s="1">
        <f t="shared" si="2"/>
        <v>172897.27</v>
      </c>
    </row>
    <row r="30" spans="1:16" ht="12.75">
      <c r="A30" s="1" t="s">
        <v>419</v>
      </c>
      <c r="B30" s="1"/>
      <c r="C30" s="1">
        <v>13028.95</v>
      </c>
      <c r="D30" s="1">
        <v>18599.35</v>
      </c>
      <c r="E30" s="1">
        <v>20270.79</v>
      </c>
      <c r="F30" s="1">
        <v>20001.84</v>
      </c>
      <c r="G30" s="1">
        <v>22217.05</v>
      </c>
      <c r="H30" s="1">
        <v>16164.25</v>
      </c>
      <c r="I30" s="1">
        <v>22568.05</v>
      </c>
      <c r="J30" s="1">
        <v>16613.29</v>
      </c>
      <c r="K30" s="1"/>
      <c r="L30" s="1"/>
      <c r="M30" s="1"/>
      <c r="N30" s="1"/>
      <c r="O30" s="1"/>
      <c r="P30" s="1">
        <f>SUM(C30:O30)</f>
        <v>149463.57</v>
      </c>
    </row>
    <row r="31" spans="1:16" ht="12.75">
      <c r="A31" s="1" t="s">
        <v>403</v>
      </c>
      <c r="B31" s="1"/>
      <c r="C31" s="1"/>
      <c r="D31" s="1"/>
      <c r="E31" s="1"/>
      <c r="F31" s="1">
        <v>31151.56</v>
      </c>
      <c r="G31" s="1">
        <v>10519.17</v>
      </c>
      <c r="H31" s="1">
        <v>10519.32</v>
      </c>
      <c r="I31" s="1"/>
      <c r="J31" s="1">
        <v>10519.32</v>
      </c>
      <c r="K31" s="1"/>
      <c r="L31" s="1"/>
      <c r="M31" s="1"/>
      <c r="N31" s="1"/>
      <c r="O31" s="1"/>
      <c r="P31" s="1">
        <f>SUM(F31:O31)</f>
        <v>62709.37</v>
      </c>
    </row>
    <row r="32" spans="1:16" s="12" customFormat="1" ht="12.75">
      <c r="A32" s="2" t="s">
        <v>420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>
        <f>P30+P31+P33+P34+P1-P29</f>
        <v>-19724.339999999997</v>
      </c>
    </row>
    <row r="33" spans="1:16" s="12" customFormat="1" ht="12.75">
      <c r="A33" s="2" t="s">
        <v>603</v>
      </c>
      <c r="B33" s="2"/>
      <c r="C33" s="2"/>
      <c r="D33" s="2"/>
      <c r="E33" s="2"/>
      <c r="F33" s="2">
        <v>378</v>
      </c>
      <c r="G33" s="2"/>
      <c r="H33" s="2">
        <v>400</v>
      </c>
      <c r="I33" s="2"/>
      <c r="J33" s="2">
        <v>240</v>
      </c>
      <c r="K33" s="2"/>
      <c r="L33" s="2"/>
      <c r="M33" s="2"/>
      <c r="N33" s="2"/>
      <c r="O33" s="2"/>
      <c r="P33" s="2">
        <f>SUM(F33:O33)</f>
        <v>1018</v>
      </c>
    </row>
    <row r="34" spans="1:16" ht="12.75">
      <c r="A34" s="1" t="s">
        <v>527</v>
      </c>
      <c r="B34" s="1"/>
      <c r="C34" s="1"/>
      <c r="D34" s="1"/>
      <c r="E34" s="1"/>
      <c r="F34" s="1">
        <v>3675</v>
      </c>
      <c r="G34" s="1">
        <v>1513.5</v>
      </c>
      <c r="H34" s="1">
        <v>600</v>
      </c>
      <c r="I34" s="1"/>
      <c r="J34" s="1">
        <v>140</v>
      </c>
      <c r="K34" s="1"/>
      <c r="L34" s="1"/>
      <c r="M34" s="1"/>
      <c r="N34" s="1"/>
      <c r="O34" s="1"/>
      <c r="P34" s="2">
        <f>SUM(F34:O34)</f>
        <v>5928.5</v>
      </c>
    </row>
    <row r="35" spans="1:16" ht="12.75">
      <c r="A35" s="1"/>
      <c r="B35" s="62" t="s">
        <v>481</v>
      </c>
      <c r="C35" s="63"/>
      <c r="D35" s="63"/>
      <c r="E35" s="63"/>
      <c r="F35" s="64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8" ht="12.75">
      <c r="G38" s="14" t="s">
        <v>428</v>
      </c>
    </row>
  </sheetData>
  <sheetProtection/>
  <mergeCells count="1">
    <mergeCell ref="B35:F35"/>
  </mergeCells>
  <printOptions/>
  <pageMargins left="0.7" right="0.7" top="0.75" bottom="0.75" header="0.3" footer="0.3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view="pageBreakPreview" zoomScale="75" zoomScaleSheetLayoutView="75" zoomScalePageLayoutView="0" workbookViewId="0" topLeftCell="A1">
      <pane xSplit="2" ySplit="11" topLeftCell="F30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K33" sqref="K33"/>
    </sheetView>
  </sheetViews>
  <sheetFormatPr defaultColWidth="9.00390625" defaultRowHeight="12.75"/>
  <cols>
    <col min="1" max="1" width="43.625" style="7" customWidth="1"/>
    <col min="2" max="2" width="16.75390625" style="7" customWidth="1"/>
    <col min="3" max="3" width="10.75390625" style="7" customWidth="1"/>
    <col min="4" max="4" width="12.875" style="7" customWidth="1"/>
    <col min="5" max="5" width="11.00390625" style="7" customWidth="1"/>
    <col min="6" max="6" width="10.375" style="7" customWidth="1"/>
    <col min="7" max="7" width="11.375" style="7" customWidth="1"/>
    <col min="8" max="8" width="9.875" style="7" bestFit="1" customWidth="1"/>
    <col min="9" max="9" width="9.875" style="7" customWidth="1"/>
    <col min="10" max="14" width="9.875" style="7" bestFit="1" customWidth="1"/>
    <col min="15" max="15" width="9.375" style="7" bestFit="1" customWidth="1"/>
    <col min="16" max="16" width="13.75390625" style="7" customWidth="1"/>
    <col min="17" max="16384" width="9.125" style="7" customWidth="1"/>
  </cols>
  <sheetData>
    <row r="1" spans="1:16" s="8" customFormat="1" ht="15">
      <c r="A1" s="8" t="s">
        <v>422</v>
      </c>
      <c r="B1" s="8">
        <v>1843.7</v>
      </c>
      <c r="K1" s="8" t="s">
        <v>431</v>
      </c>
      <c r="M1" s="8" t="s">
        <v>601</v>
      </c>
      <c r="P1" s="8">
        <v>-7228.24</v>
      </c>
    </row>
    <row r="2" spans="1:2" ht="14.25">
      <c r="A2" s="7" t="s">
        <v>421</v>
      </c>
      <c r="B2" s="7">
        <f>PRODUCT(B1,13)</f>
        <v>23968.100000000002</v>
      </c>
    </row>
    <row r="3" spans="1:16" s="8" customFormat="1" ht="15">
      <c r="A3" s="8" t="s">
        <v>409</v>
      </c>
      <c r="B3" s="8" t="s">
        <v>410</v>
      </c>
      <c r="C3" s="8" t="s">
        <v>434</v>
      </c>
      <c r="D3" s="8" t="s">
        <v>438</v>
      </c>
      <c r="E3" s="8" t="s">
        <v>437</v>
      </c>
      <c r="F3" s="8" t="s">
        <v>436</v>
      </c>
      <c r="G3" s="8" t="s">
        <v>413</v>
      </c>
      <c r="H3" s="8" t="s">
        <v>414</v>
      </c>
      <c r="I3" s="8" t="s">
        <v>416</v>
      </c>
      <c r="J3" s="8" t="s">
        <v>417</v>
      </c>
      <c r="K3" s="8" t="s">
        <v>423</v>
      </c>
      <c r="L3" s="8" t="s">
        <v>424</v>
      </c>
      <c r="M3" s="8" t="s">
        <v>425</v>
      </c>
      <c r="N3" s="8" t="s">
        <v>426</v>
      </c>
      <c r="O3" s="8" t="s">
        <v>434</v>
      </c>
      <c r="P3" s="8" t="s">
        <v>427</v>
      </c>
    </row>
    <row r="4" spans="1:16" ht="14.25">
      <c r="A4" s="7" t="s">
        <v>411</v>
      </c>
      <c r="B4" s="7">
        <v>1.57</v>
      </c>
      <c r="C4" s="7">
        <f>B4*B1</f>
        <v>2894.6090000000004</v>
      </c>
      <c r="D4" s="7">
        <f>B4*B1</f>
        <v>2894.6090000000004</v>
      </c>
      <c r="E4" s="7">
        <f>B4*B1</f>
        <v>2894.6090000000004</v>
      </c>
      <c r="F4" s="7">
        <f>B4*B1</f>
        <v>2894.6090000000004</v>
      </c>
      <c r="G4" s="7">
        <f>B4*B1</f>
        <v>2894.6090000000004</v>
      </c>
      <c r="H4" s="7">
        <v>2894.61</v>
      </c>
      <c r="I4" s="7">
        <v>2894.61</v>
      </c>
      <c r="J4" s="7">
        <v>2894.61</v>
      </c>
      <c r="P4" s="7">
        <f aca="true" t="shared" si="0" ref="P4:P11">SUM(C4:O4)</f>
        <v>23156.875000000004</v>
      </c>
    </row>
    <row r="5" spans="1:16" ht="14.25">
      <c r="A5" s="7" t="s">
        <v>452</v>
      </c>
      <c r="B5" s="7">
        <v>1.6</v>
      </c>
      <c r="C5" s="7">
        <f>B5*B1</f>
        <v>2949.92</v>
      </c>
      <c r="D5" s="7">
        <f>B5*B1</f>
        <v>2949.92</v>
      </c>
      <c r="E5" s="7">
        <f>B5*B1</f>
        <v>2949.92</v>
      </c>
      <c r="F5" s="7">
        <f>B5*B1</f>
        <v>2949.92</v>
      </c>
      <c r="G5" s="7">
        <f>B5*B1</f>
        <v>2949.92</v>
      </c>
      <c r="H5" s="7">
        <v>2949.92</v>
      </c>
      <c r="I5" s="7">
        <v>2949.92</v>
      </c>
      <c r="J5" s="7">
        <v>2949.92</v>
      </c>
      <c r="P5" s="7">
        <f t="shared" si="0"/>
        <v>23599.36</v>
      </c>
    </row>
    <row r="6" spans="1:16" ht="14.25">
      <c r="A6" s="7" t="s">
        <v>412</v>
      </c>
      <c r="B6" s="7">
        <v>1.6</v>
      </c>
      <c r="C6" s="7">
        <f>B6*B1</f>
        <v>2949.92</v>
      </c>
      <c r="D6" s="7">
        <f>B6*B1</f>
        <v>2949.92</v>
      </c>
      <c r="E6" s="7">
        <f>B6*B1</f>
        <v>2949.92</v>
      </c>
      <c r="F6" s="7">
        <f>B6*B1</f>
        <v>2949.92</v>
      </c>
      <c r="G6" s="7">
        <f>B6*B1</f>
        <v>2949.92</v>
      </c>
      <c r="H6" s="7">
        <v>2949.92</v>
      </c>
      <c r="I6" s="7">
        <v>2949.92</v>
      </c>
      <c r="J6" s="7">
        <v>2949.92</v>
      </c>
      <c r="P6" s="7">
        <f t="shared" si="0"/>
        <v>23599.36</v>
      </c>
    </row>
    <row r="7" spans="1:16" ht="14.25">
      <c r="A7" s="9" t="s">
        <v>435</v>
      </c>
      <c r="B7" s="7">
        <v>0.66</v>
      </c>
      <c r="C7" s="7">
        <v>1216.84</v>
      </c>
      <c r="D7" s="7">
        <v>1216.84</v>
      </c>
      <c r="E7" s="7">
        <v>1216.84</v>
      </c>
      <c r="F7" s="7">
        <v>1216.84</v>
      </c>
      <c r="G7" s="7">
        <v>1216.84</v>
      </c>
      <c r="H7" s="7">
        <v>1216.84</v>
      </c>
      <c r="I7" s="7">
        <v>1216.84</v>
      </c>
      <c r="J7" s="7">
        <v>1216.84</v>
      </c>
      <c r="P7" s="7">
        <f t="shared" si="0"/>
        <v>9734.72</v>
      </c>
    </row>
    <row r="8" spans="1:16" ht="14.25">
      <c r="A8" s="9" t="s">
        <v>253</v>
      </c>
      <c r="C8" s="7">
        <v>2034</v>
      </c>
      <c r="D8" s="7">
        <v>2034</v>
      </c>
      <c r="E8" s="7">
        <v>2034</v>
      </c>
      <c r="F8" s="7">
        <v>2034</v>
      </c>
      <c r="G8" s="7">
        <v>2034</v>
      </c>
      <c r="H8" s="7">
        <v>2034</v>
      </c>
      <c r="I8" s="7">
        <v>2034</v>
      </c>
      <c r="J8" s="7">
        <v>2034</v>
      </c>
      <c r="P8" s="7">
        <f t="shared" si="0"/>
        <v>16272</v>
      </c>
    </row>
    <row r="9" spans="1:16" s="8" customFormat="1" ht="15">
      <c r="A9" s="7" t="s">
        <v>478</v>
      </c>
      <c r="B9" s="7"/>
      <c r="C9" s="7">
        <v>2034</v>
      </c>
      <c r="D9" s="7">
        <v>2034</v>
      </c>
      <c r="E9" s="7">
        <v>2034</v>
      </c>
      <c r="F9" s="7">
        <v>2034</v>
      </c>
      <c r="G9" s="7">
        <v>2034</v>
      </c>
      <c r="H9" s="7">
        <v>2034</v>
      </c>
      <c r="I9" s="7">
        <v>2034</v>
      </c>
      <c r="J9" s="7">
        <v>2034</v>
      </c>
      <c r="K9" s="7"/>
      <c r="L9" s="7"/>
      <c r="M9" s="7"/>
      <c r="N9" s="7"/>
      <c r="O9" s="7"/>
      <c r="P9" s="7">
        <f t="shared" si="0"/>
        <v>16272</v>
      </c>
    </row>
    <row r="10" spans="1:16" ht="14.25">
      <c r="A10" s="7" t="s">
        <v>491</v>
      </c>
      <c r="B10" s="7">
        <v>0.44</v>
      </c>
      <c r="C10" s="7">
        <v>811.23</v>
      </c>
      <c r="D10" s="7">
        <v>811.23</v>
      </c>
      <c r="E10" s="7">
        <v>811.23</v>
      </c>
      <c r="F10" s="7">
        <v>811.23</v>
      </c>
      <c r="G10" s="7">
        <v>811.23</v>
      </c>
      <c r="H10" s="7">
        <v>811.23</v>
      </c>
      <c r="I10" s="7">
        <v>811.23</v>
      </c>
      <c r="J10" s="7">
        <v>811.23</v>
      </c>
      <c r="P10" s="7">
        <f t="shared" si="0"/>
        <v>6489.84</v>
      </c>
    </row>
    <row r="11" spans="1:16" ht="14.25">
      <c r="A11" s="7" t="s">
        <v>429</v>
      </c>
      <c r="C11" s="7">
        <v>84.81</v>
      </c>
      <c r="D11" s="7">
        <v>84.81</v>
      </c>
      <c r="E11" s="7">
        <v>84.81</v>
      </c>
      <c r="F11" s="7">
        <v>84.81</v>
      </c>
      <c r="G11" s="7">
        <v>84.81</v>
      </c>
      <c r="H11" s="7">
        <v>59</v>
      </c>
      <c r="I11" s="7">
        <v>267.34</v>
      </c>
      <c r="J11" s="7">
        <v>267.34</v>
      </c>
      <c r="P11" s="7">
        <f t="shared" si="0"/>
        <v>1017.73</v>
      </c>
    </row>
    <row r="12" spans="1:16" ht="28.5">
      <c r="A12" s="9" t="s">
        <v>495</v>
      </c>
      <c r="P12" s="7">
        <f aca="true" t="shared" si="1" ref="P12:P35">SUM(C12:O12)</f>
        <v>0</v>
      </c>
    </row>
    <row r="13" spans="1:16" ht="28.5">
      <c r="A13" s="9" t="s">
        <v>496</v>
      </c>
      <c r="P13" s="7">
        <f t="shared" si="1"/>
        <v>0</v>
      </c>
    </row>
    <row r="14" spans="1:16" ht="14.25">
      <c r="A14" s="7" t="s">
        <v>489</v>
      </c>
      <c r="P14" s="7">
        <f t="shared" si="1"/>
        <v>0</v>
      </c>
    </row>
    <row r="15" spans="1:16" ht="14.25">
      <c r="A15" s="7" t="s">
        <v>225</v>
      </c>
      <c r="P15" s="7">
        <f t="shared" si="1"/>
        <v>0</v>
      </c>
    </row>
    <row r="16" spans="1:16" ht="14.25">
      <c r="A16" s="7" t="s">
        <v>497</v>
      </c>
      <c r="G16" s="7">
        <v>12957</v>
      </c>
      <c r="P16" s="7">
        <f t="shared" si="1"/>
        <v>12957</v>
      </c>
    </row>
    <row r="17" spans="1:16" ht="30" customHeight="1">
      <c r="A17" s="9" t="s">
        <v>533</v>
      </c>
      <c r="P17" s="7">
        <f t="shared" si="1"/>
        <v>0</v>
      </c>
    </row>
    <row r="18" spans="1:16" ht="19.5" customHeight="1">
      <c r="A18" s="9" t="s">
        <v>226</v>
      </c>
      <c r="P18" s="7">
        <f t="shared" si="1"/>
        <v>0</v>
      </c>
    </row>
    <row r="19" spans="1:16" ht="16.5" customHeight="1">
      <c r="A19" s="9" t="s">
        <v>536</v>
      </c>
      <c r="P19" s="7">
        <f t="shared" si="1"/>
        <v>0</v>
      </c>
    </row>
    <row r="20" spans="1:16" ht="14.25">
      <c r="A20" s="7" t="s">
        <v>492</v>
      </c>
      <c r="B20" s="1"/>
      <c r="C20" s="1"/>
      <c r="D20" s="1"/>
      <c r="E20" s="1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7">
        <f t="shared" si="1"/>
        <v>0</v>
      </c>
    </row>
    <row r="21" spans="1:16" ht="14.25">
      <c r="A21" s="7" t="s">
        <v>507</v>
      </c>
      <c r="B21" s="1"/>
      <c r="C21" s="1"/>
      <c r="D21" s="1"/>
      <c r="E21" s="1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7">
        <f t="shared" si="1"/>
        <v>0</v>
      </c>
    </row>
    <row r="22" spans="1:16" ht="14.25">
      <c r="A22" s="7" t="s">
        <v>711</v>
      </c>
      <c r="B22" s="1"/>
      <c r="C22" s="1"/>
      <c r="D22" s="1"/>
      <c r="E22" s="1"/>
      <c r="F22" s="39">
        <v>1025.32</v>
      </c>
      <c r="G22" s="39"/>
      <c r="H22" s="39"/>
      <c r="I22" s="39"/>
      <c r="J22" s="39"/>
      <c r="K22" s="39"/>
      <c r="L22" s="39"/>
      <c r="M22" s="39"/>
      <c r="N22" s="39"/>
      <c r="O22" s="39"/>
      <c r="P22" s="7">
        <f>SUM(C22:O22)</f>
        <v>1025.32</v>
      </c>
    </row>
    <row r="23" spans="1:16" ht="14.25">
      <c r="A23" s="7" t="s">
        <v>56</v>
      </c>
      <c r="B23" s="1"/>
      <c r="C23" s="1"/>
      <c r="D23" s="1"/>
      <c r="E23" s="1"/>
      <c r="F23" s="39"/>
      <c r="G23" s="39"/>
      <c r="H23" s="39"/>
      <c r="I23" s="39">
        <v>4539.83</v>
      </c>
      <c r="J23" s="39"/>
      <c r="K23" s="39"/>
      <c r="L23" s="39"/>
      <c r="M23" s="39"/>
      <c r="N23" s="39"/>
      <c r="O23" s="39"/>
      <c r="P23" s="7">
        <v>4539.83</v>
      </c>
    </row>
    <row r="24" spans="1:16" ht="28.5">
      <c r="A24" s="9" t="s">
        <v>117</v>
      </c>
      <c r="B24" s="1"/>
      <c r="C24" s="1"/>
      <c r="D24" s="1"/>
      <c r="E24" s="1"/>
      <c r="F24" s="39"/>
      <c r="G24" s="39"/>
      <c r="H24" s="39"/>
      <c r="I24" s="39"/>
      <c r="J24" s="39">
        <v>1780.67</v>
      </c>
      <c r="K24" s="39"/>
      <c r="L24" s="39"/>
      <c r="M24" s="39"/>
      <c r="N24" s="39"/>
      <c r="O24" s="39"/>
      <c r="P24" s="7">
        <v>1780.67</v>
      </c>
    </row>
    <row r="25" spans="1:16" ht="14.25">
      <c r="A25" s="7" t="s">
        <v>494</v>
      </c>
      <c r="B25" s="1"/>
      <c r="C25" s="1"/>
      <c r="D25" s="1"/>
      <c r="E25" s="1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7">
        <f t="shared" si="1"/>
        <v>0</v>
      </c>
    </row>
    <row r="26" spans="1:16" ht="14.25">
      <c r="A26" s="7" t="s">
        <v>632</v>
      </c>
      <c r="B26" s="1"/>
      <c r="C26" s="1"/>
      <c r="D26" s="1"/>
      <c r="E26" s="1"/>
      <c r="F26" s="39">
        <v>207.08</v>
      </c>
      <c r="G26" s="39"/>
      <c r="H26" s="39"/>
      <c r="I26" s="39"/>
      <c r="J26" s="39"/>
      <c r="K26" s="39"/>
      <c r="L26" s="39"/>
      <c r="M26" s="39"/>
      <c r="N26" s="39"/>
      <c r="O26" s="39"/>
      <c r="P26" s="7">
        <v>207.08</v>
      </c>
    </row>
    <row r="27" spans="1:16" ht="14.25">
      <c r="A27" s="7" t="s">
        <v>772</v>
      </c>
      <c r="B27" s="1"/>
      <c r="C27" s="1"/>
      <c r="D27" s="1"/>
      <c r="E27" s="1"/>
      <c r="F27" s="39"/>
      <c r="G27" s="39"/>
      <c r="H27" s="39">
        <v>1986.64</v>
      </c>
      <c r="I27" s="39"/>
      <c r="J27" s="39"/>
      <c r="K27" s="39"/>
      <c r="L27" s="39"/>
      <c r="M27" s="39"/>
      <c r="N27" s="39"/>
      <c r="O27" s="39"/>
      <c r="P27" s="7">
        <v>1986.64</v>
      </c>
    </row>
    <row r="28" spans="1:16" ht="14.25">
      <c r="A28" s="7" t="s">
        <v>560</v>
      </c>
      <c r="B28" s="1"/>
      <c r="C28" s="1"/>
      <c r="D28" s="1"/>
      <c r="E28" s="1"/>
      <c r="F28" s="39">
        <v>2271.32</v>
      </c>
      <c r="G28" s="39"/>
      <c r="H28" s="39"/>
      <c r="I28" s="39"/>
      <c r="J28" s="39"/>
      <c r="K28" s="39"/>
      <c r="L28" s="39"/>
      <c r="M28" s="39"/>
      <c r="N28" s="39"/>
      <c r="O28" s="39"/>
      <c r="P28" s="7">
        <f>SUM(C28:O28)</f>
        <v>2271.32</v>
      </c>
    </row>
    <row r="29" spans="1:16" ht="14.25">
      <c r="A29" s="7" t="s">
        <v>11</v>
      </c>
      <c r="B29" s="1"/>
      <c r="C29" s="1"/>
      <c r="D29" s="1"/>
      <c r="E29" s="1"/>
      <c r="F29" s="39"/>
      <c r="G29" s="39"/>
      <c r="H29" s="39"/>
      <c r="I29" s="39"/>
      <c r="J29" s="39">
        <v>103.54</v>
      </c>
      <c r="K29" s="39"/>
      <c r="L29" s="39"/>
      <c r="M29" s="39"/>
      <c r="N29" s="39"/>
      <c r="O29" s="39"/>
      <c r="P29" s="7">
        <v>103.54</v>
      </c>
    </row>
    <row r="30" spans="1:16" ht="30.75" customHeight="1">
      <c r="A30" s="9" t="s">
        <v>659</v>
      </c>
      <c r="B30" s="1"/>
      <c r="C30" s="1"/>
      <c r="D30" s="1"/>
      <c r="E30" s="1"/>
      <c r="F30" s="39"/>
      <c r="G30" s="39">
        <v>10506.6</v>
      </c>
      <c r="H30" s="39"/>
      <c r="I30" s="39"/>
      <c r="J30" s="39"/>
      <c r="K30" s="39"/>
      <c r="L30" s="39"/>
      <c r="M30" s="39"/>
      <c r="N30" s="39"/>
      <c r="O30" s="39"/>
      <c r="P30" s="7">
        <f t="shared" si="1"/>
        <v>10506.6</v>
      </c>
    </row>
    <row r="31" spans="1:16" ht="25.5" customHeight="1">
      <c r="A31" s="9" t="s">
        <v>297</v>
      </c>
      <c r="F31" s="7">
        <v>933.24</v>
      </c>
      <c r="P31" s="7">
        <f t="shared" si="1"/>
        <v>933.24</v>
      </c>
    </row>
    <row r="32" spans="1:16" ht="25.5" customHeight="1">
      <c r="A32" s="9" t="s">
        <v>29</v>
      </c>
      <c r="J32" s="7">
        <v>9593.58</v>
      </c>
      <c r="P32" s="7">
        <v>9593.58</v>
      </c>
    </row>
    <row r="33" spans="1:16" ht="25.5" customHeight="1">
      <c r="A33" s="9" t="s">
        <v>82</v>
      </c>
      <c r="I33" s="7">
        <v>42000</v>
      </c>
      <c r="P33" s="7">
        <v>42000</v>
      </c>
    </row>
    <row r="34" spans="1:16" ht="44.25" customHeight="1">
      <c r="A34" s="9" t="s">
        <v>760</v>
      </c>
      <c r="H34" s="7">
        <v>1104.16</v>
      </c>
      <c r="P34" s="7">
        <f t="shared" si="1"/>
        <v>1104.16</v>
      </c>
    </row>
    <row r="35" spans="1:16" ht="29.25" customHeight="1">
      <c r="A35" s="9" t="s">
        <v>287</v>
      </c>
      <c r="F35" s="7">
        <v>828.32</v>
      </c>
      <c r="P35" s="7">
        <f t="shared" si="1"/>
        <v>828.32</v>
      </c>
    </row>
    <row r="36" ht="29.25" customHeight="1">
      <c r="A36" s="9" t="s">
        <v>81</v>
      </c>
    </row>
    <row r="37" spans="1:16" ht="19.5" customHeight="1">
      <c r="A37" s="9" t="s">
        <v>615</v>
      </c>
      <c r="G37" s="7">
        <v>414.16</v>
      </c>
      <c r="P37" s="7">
        <f>SUM(C37:O37)</f>
        <v>414.16</v>
      </c>
    </row>
    <row r="38" spans="1:16" ht="14.25">
      <c r="A38" s="9" t="s">
        <v>611</v>
      </c>
      <c r="G38" s="7">
        <v>675.16</v>
      </c>
      <c r="P38" s="7">
        <f>SUM(D38:O38)</f>
        <v>675.16</v>
      </c>
    </row>
    <row r="39" spans="1:16" ht="14.25">
      <c r="A39" s="7" t="s">
        <v>415</v>
      </c>
      <c r="C39" s="7">
        <f aca="true" t="shared" si="2" ref="C39:P39">SUM(C4:C38)</f>
        <v>14975.329</v>
      </c>
      <c r="D39" s="7">
        <f t="shared" si="2"/>
        <v>14975.329</v>
      </c>
      <c r="E39" s="7">
        <f t="shared" si="2"/>
        <v>14975.329</v>
      </c>
      <c r="F39" s="7">
        <f t="shared" si="2"/>
        <v>20240.609</v>
      </c>
      <c r="G39" s="7">
        <f t="shared" si="2"/>
        <v>39528.249</v>
      </c>
      <c r="H39" s="7">
        <f t="shared" si="2"/>
        <v>18040.32</v>
      </c>
      <c r="I39" s="7">
        <f t="shared" si="2"/>
        <v>61697.69</v>
      </c>
      <c r="J39" s="7">
        <f t="shared" si="2"/>
        <v>26635.65</v>
      </c>
      <c r="K39" s="7">
        <f t="shared" si="2"/>
        <v>0</v>
      </c>
      <c r="L39" s="7">
        <f t="shared" si="2"/>
        <v>0</v>
      </c>
      <c r="M39" s="7">
        <f t="shared" si="2"/>
        <v>0</v>
      </c>
      <c r="N39" s="7">
        <f t="shared" si="2"/>
        <v>0</v>
      </c>
      <c r="O39" s="7">
        <f t="shared" si="2"/>
        <v>0</v>
      </c>
      <c r="P39" s="7">
        <f t="shared" si="2"/>
        <v>211068.50500000003</v>
      </c>
    </row>
    <row r="40" spans="1:16" ht="14.25">
      <c r="A40" s="7" t="s">
        <v>419</v>
      </c>
      <c r="C40" s="7">
        <v>20863.46</v>
      </c>
      <c r="D40" s="7">
        <v>19100.03</v>
      </c>
      <c r="E40" s="7">
        <v>26441.2</v>
      </c>
      <c r="F40" s="7">
        <v>24549.01</v>
      </c>
      <c r="G40" s="7">
        <v>26375.33</v>
      </c>
      <c r="H40" s="7">
        <v>22267.17</v>
      </c>
      <c r="I40" s="7">
        <v>32101.12</v>
      </c>
      <c r="J40" s="7">
        <v>24726.01</v>
      </c>
      <c r="P40" s="7">
        <f>SUM(C40:O40)</f>
        <v>196423.33000000002</v>
      </c>
    </row>
    <row r="41" spans="1:16" ht="14.25">
      <c r="A41" s="9" t="s">
        <v>401</v>
      </c>
      <c r="D41" s="7">
        <v>2269.33</v>
      </c>
      <c r="E41" s="7">
        <v>2013.9</v>
      </c>
      <c r="F41" s="7">
        <v>1572.9</v>
      </c>
      <c r="G41" s="7">
        <v>1048.6</v>
      </c>
      <c r="H41" s="7">
        <v>1048.6</v>
      </c>
      <c r="J41" s="7">
        <v>2280.92</v>
      </c>
      <c r="P41" s="7">
        <f>SUM(D41:O41)</f>
        <v>10234.25</v>
      </c>
    </row>
    <row r="42" spans="1:16" ht="15">
      <c r="A42" s="7" t="s">
        <v>420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>
        <f>P40+P41+P43+P44-P39+P1</f>
        <v>-5070.665000000017</v>
      </c>
    </row>
    <row r="43" spans="1:16" ht="14.25">
      <c r="A43" s="7" t="s">
        <v>687</v>
      </c>
      <c r="F43" s="7">
        <v>378</v>
      </c>
      <c r="H43" s="7">
        <v>400</v>
      </c>
      <c r="J43" s="7">
        <v>240</v>
      </c>
      <c r="P43" s="7">
        <f>SUM(H43:O43)</f>
        <v>640</v>
      </c>
    </row>
    <row r="44" spans="1:16" ht="14.25">
      <c r="A44" s="7" t="s">
        <v>688</v>
      </c>
      <c r="F44" s="7">
        <v>3675</v>
      </c>
      <c r="G44" s="7">
        <v>1513.5</v>
      </c>
      <c r="H44" s="7">
        <v>600</v>
      </c>
      <c r="J44" s="7">
        <v>140</v>
      </c>
      <c r="P44" s="7">
        <f>SUM(C44:O44)</f>
        <v>5928.5</v>
      </c>
    </row>
    <row r="45" spans="2:6" ht="14.25">
      <c r="B45" s="65" t="s">
        <v>477</v>
      </c>
      <c r="C45" s="66"/>
      <c r="D45" s="66"/>
      <c r="E45" s="66"/>
      <c r="F45" s="67"/>
    </row>
  </sheetData>
  <sheetProtection/>
  <mergeCells count="1">
    <mergeCell ref="B45:F4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="60" zoomScalePageLayoutView="0" workbookViewId="0" topLeftCell="B1">
      <selection activeCell="B7" sqref="B7"/>
    </sheetView>
  </sheetViews>
  <sheetFormatPr defaultColWidth="9.00390625" defaultRowHeight="12.75"/>
  <cols>
    <col min="1" max="1" width="46.375" style="14" customWidth="1"/>
    <col min="2" max="2" width="11.875" style="14" customWidth="1"/>
    <col min="3" max="3" width="15.875" style="14" customWidth="1"/>
    <col min="4" max="4" width="13.25390625" style="14" customWidth="1"/>
    <col min="5" max="6" width="13.125" style="14" customWidth="1"/>
    <col min="7" max="7" width="12.125" style="14" customWidth="1"/>
    <col min="8" max="8" width="12.375" style="14" customWidth="1"/>
    <col min="9" max="9" width="14.125" style="14" customWidth="1"/>
    <col min="10" max="10" width="11.875" style="14" customWidth="1"/>
    <col min="11" max="11" width="12.25390625" style="14" customWidth="1"/>
    <col min="12" max="12" width="13.25390625" style="14" customWidth="1"/>
    <col min="13" max="13" width="12.375" style="14" customWidth="1"/>
    <col min="14" max="14" width="13.00390625" style="14" customWidth="1"/>
    <col min="15" max="15" width="13.125" style="14" customWidth="1"/>
    <col min="16" max="16" width="0.37109375" style="14" customWidth="1"/>
    <col min="17" max="17" width="19.25390625" style="14" customWidth="1"/>
    <col min="18" max="16384" width="9.125" style="14" customWidth="1"/>
  </cols>
  <sheetData>
    <row r="1" spans="1:17" s="12" customFormat="1" ht="15.75">
      <c r="A1" s="6" t="s">
        <v>422</v>
      </c>
      <c r="B1" s="6"/>
      <c r="C1" s="6">
        <v>1484.4</v>
      </c>
      <c r="D1" s="6"/>
      <c r="E1" s="70" t="s">
        <v>93</v>
      </c>
      <c r="F1" s="71"/>
      <c r="G1" s="71"/>
      <c r="H1" s="71"/>
      <c r="I1" s="72"/>
      <c r="J1" s="6"/>
      <c r="K1" s="6" t="s">
        <v>280</v>
      </c>
      <c r="L1" s="6" t="s">
        <v>465</v>
      </c>
      <c r="M1" s="6"/>
      <c r="N1" s="6"/>
      <c r="O1" s="6"/>
      <c r="P1" s="6"/>
      <c r="Q1" s="6">
        <v>-7226.61</v>
      </c>
    </row>
    <row r="2" spans="1:17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2" customFormat="1" ht="15.75">
      <c r="A3" s="6" t="s">
        <v>409</v>
      </c>
      <c r="B3" s="6"/>
      <c r="C3" s="6" t="s">
        <v>410</v>
      </c>
      <c r="D3" s="6" t="s">
        <v>434</v>
      </c>
      <c r="E3" s="6" t="s">
        <v>438</v>
      </c>
      <c r="F3" s="6" t="s">
        <v>437</v>
      </c>
      <c r="G3" s="6" t="s">
        <v>436</v>
      </c>
      <c r="H3" s="6" t="s">
        <v>413</v>
      </c>
      <c r="I3" s="6" t="s">
        <v>414</v>
      </c>
      <c r="J3" s="6" t="s">
        <v>416</v>
      </c>
      <c r="K3" s="6" t="s">
        <v>417</v>
      </c>
      <c r="L3" s="6" t="s">
        <v>423</v>
      </c>
      <c r="M3" s="6" t="s">
        <v>424</v>
      </c>
      <c r="N3" s="6" t="s">
        <v>425</v>
      </c>
      <c r="O3" s="6" t="s">
        <v>426</v>
      </c>
      <c r="P3" s="6" t="s">
        <v>434</v>
      </c>
      <c r="Q3" s="18" t="s">
        <v>397</v>
      </c>
    </row>
    <row r="4" spans="1:17" ht="15">
      <c r="A4" s="5" t="s">
        <v>530</v>
      </c>
      <c r="B4" s="5"/>
      <c r="C4" s="5">
        <v>1.57</v>
      </c>
      <c r="D4" s="5">
        <f>C4*C1</f>
        <v>2330.5080000000003</v>
      </c>
      <c r="E4" s="5">
        <f>C4*C1</f>
        <v>2330.5080000000003</v>
      </c>
      <c r="F4" s="5">
        <f>C4*C1</f>
        <v>2330.5080000000003</v>
      </c>
      <c r="G4" s="5">
        <f>C4*C1</f>
        <v>2330.5080000000003</v>
      </c>
      <c r="H4" s="5">
        <f>C4*C1</f>
        <v>2330.5080000000003</v>
      </c>
      <c r="I4" s="5">
        <v>2330.51</v>
      </c>
      <c r="J4" s="5">
        <v>2330.51</v>
      </c>
      <c r="K4" s="5">
        <v>2330.51</v>
      </c>
      <c r="L4" s="5"/>
      <c r="M4" s="5"/>
      <c r="N4" s="5"/>
      <c r="O4" s="5"/>
      <c r="P4" s="5"/>
      <c r="Q4" s="5">
        <f aca="true" t="shared" si="0" ref="Q4:Q41">SUM(D4:P4)</f>
        <v>18644.07</v>
      </c>
    </row>
    <row r="5" spans="1:17" ht="15">
      <c r="A5" s="5" t="s">
        <v>451</v>
      </c>
      <c r="B5" s="5"/>
      <c r="C5" s="5">
        <v>1.6</v>
      </c>
      <c r="D5" s="5">
        <f>C5*C1</f>
        <v>2375.0400000000004</v>
      </c>
      <c r="E5" s="5">
        <f>C5*C1</f>
        <v>2375.0400000000004</v>
      </c>
      <c r="F5" s="5">
        <f>C5*C1</f>
        <v>2375.0400000000004</v>
      </c>
      <c r="G5" s="5">
        <f>C5*C1</f>
        <v>2375.0400000000004</v>
      </c>
      <c r="H5" s="5">
        <f>C5*C1</f>
        <v>2375.0400000000004</v>
      </c>
      <c r="I5" s="5">
        <v>2375.04</v>
      </c>
      <c r="J5" s="5">
        <v>2375.04</v>
      </c>
      <c r="K5" s="5">
        <v>2375.04</v>
      </c>
      <c r="L5" s="5"/>
      <c r="M5" s="5"/>
      <c r="N5" s="5"/>
      <c r="O5" s="5"/>
      <c r="P5" s="5"/>
      <c r="Q5" s="5">
        <f t="shared" si="0"/>
        <v>19000.320000000003</v>
      </c>
    </row>
    <row r="6" spans="1:17" ht="15">
      <c r="A6" s="5" t="s">
        <v>412</v>
      </c>
      <c r="B6" s="5"/>
      <c r="C6" s="5">
        <v>1.6</v>
      </c>
      <c r="D6" s="5">
        <f>C6*C1</f>
        <v>2375.0400000000004</v>
      </c>
      <c r="E6" s="5">
        <f>C6*C1</f>
        <v>2375.0400000000004</v>
      </c>
      <c r="F6" s="5">
        <f>C6*C1</f>
        <v>2375.0400000000004</v>
      </c>
      <c r="G6" s="5">
        <f>C6*C1</f>
        <v>2375.0400000000004</v>
      </c>
      <c r="H6" s="5">
        <f>C6*C1</f>
        <v>2375.0400000000004</v>
      </c>
      <c r="I6" s="5">
        <v>2375.04</v>
      </c>
      <c r="J6" s="5">
        <v>2375.04</v>
      </c>
      <c r="K6" s="5">
        <v>2375.04</v>
      </c>
      <c r="L6" s="5"/>
      <c r="M6" s="5"/>
      <c r="N6" s="5"/>
      <c r="O6" s="5"/>
      <c r="P6" s="5"/>
      <c r="Q6" s="5">
        <f t="shared" si="0"/>
        <v>19000.320000000003</v>
      </c>
    </row>
    <row r="7" spans="1:17" ht="15">
      <c r="A7" s="5" t="s">
        <v>468</v>
      </c>
      <c r="B7" s="5"/>
      <c r="C7" s="5">
        <v>0.44</v>
      </c>
      <c r="D7" s="5">
        <f>C7*C1</f>
        <v>653.1360000000001</v>
      </c>
      <c r="E7" s="5">
        <f>C7*C1</f>
        <v>653.1360000000001</v>
      </c>
      <c r="F7" s="5">
        <f>C7*C1</f>
        <v>653.1360000000001</v>
      </c>
      <c r="G7" s="5">
        <f>C7*C1</f>
        <v>653.1360000000001</v>
      </c>
      <c r="H7" s="5">
        <f>C7*C1</f>
        <v>653.1360000000001</v>
      </c>
      <c r="I7" s="5">
        <v>653.14</v>
      </c>
      <c r="J7" s="5">
        <v>653.14</v>
      </c>
      <c r="K7" s="5">
        <v>653.14</v>
      </c>
      <c r="L7" s="5"/>
      <c r="M7" s="5"/>
      <c r="N7" s="5"/>
      <c r="O7" s="5"/>
      <c r="P7" s="5"/>
      <c r="Q7" s="5">
        <f t="shared" si="0"/>
        <v>5225.1</v>
      </c>
    </row>
    <row r="8" spans="1:17" ht="15">
      <c r="A8" s="5" t="s">
        <v>435</v>
      </c>
      <c r="B8" s="5"/>
      <c r="C8" s="5">
        <v>0.6</v>
      </c>
      <c r="D8" s="5">
        <v>890.64</v>
      </c>
      <c r="E8" s="5">
        <v>890.64</v>
      </c>
      <c r="F8" s="5">
        <v>890.64</v>
      </c>
      <c r="G8" s="5">
        <v>890.64</v>
      </c>
      <c r="H8" s="5">
        <v>890.64</v>
      </c>
      <c r="I8" s="5">
        <v>890.64</v>
      </c>
      <c r="J8" s="5">
        <v>890.64</v>
      </c>
      <c r="K8" s="5">
        <v>890.64</v>
      </c>
      <c r="L8" s="5"/>
      <c r="M8" s="5"/>
      <c r="N8" s="5"/>
      <c r="O8" s="5"/>
      <c r="P8" s="5"/>
      <c r="Q8" s="5">
        <f t="shared" si="0"/>
        <v>7125.120000000001</v>
      </c>
    </row>
    <row r="9" spans="1:17" ht="15">
      <c r="A9" s="19" t="s">
        <v>478</v>
      </c>
      <c r="B9" s="19"/>
      <c r="C9" s="5"/>
      <c r="D9" s="5">
        <v>2445</v>
      </c>
      <c r="E9" s="5">
        <v>2445</v>
      </c>
      <c r="F9" s="5">
        <v>2445</v>
      </c>
      <c r="G9" s="5">
        <v>2445</v>
      </c>
      <c r="H9" s="5">
        <v>2445</v>
      </c>
      <c r="I9" s="5">
        <v>2445</v>
      </c>
      <c r="J9" s="5">
        <v>2445</v>
      </c>
      <c r="K9" s="5">
        <v>2445</v>
      </c>
      <c r="L9" s="5"/>
      <c r="M9" s="5"/>
      <c r="N9" s="5"/>
      <c r="O9" s="5"/>
      <c r="P9" s="5"/>
      <c r="Q9" s="5">
        <f t="shared" si="0"/>
        <v>19560</v>
      </c>
    </row>
    <row r="10" spans="1:17" ht="29.25" customHeight="1">
      <c r="A10" s="19" t="s">
        <v>253</v>
      </c>
      <c r="B10" s="19"/>
      <c r="C10" s="5"/>
      <c r="D10" s="5">
        <v>2034</v>
      </c>
      <c r="E10" s="5">
        <v>2034</v>
      </c>
      <c r="F10" s="5">
        <v>2034</v>
      </c>
      <c r="G10" s="5">
        <v>2034</v>
      </c>
      <c r="H10" s="5">
        <v>2034</v>
      </c>
      <c r="I10" s="5">
        <v>2034</v>
      </c>
      <c r="J10" s="5">
        <v>2034</v>
      </c>
      <c r="K10" s="5">
        <v>2034</v>
      </c>
      <c r="L10" s="5"/>
      <c r="M10" s="5"/>
      <c r="N10" s="5"/>
      <c r="O10" s="5"/>
      <c r="P10" s="5"/>
      <c r="Q10" s="5">
        <f t="shared" si="0"/>
        <v>16272</v>
      </c>
    </row>
    <row r="11" spans="1:17" ht="15">
      <c r="A11" s="5" t="s">
        <v>262</v>
      </c>
      <c r="B11" s="5"/>
      <c r="C11" s="5"/>
      <c r="D11" s="5">
        <v>500</v>
      </c>
      <c r="E11" s="5">
        <v>500</v>
      </c>
      <c r="F11" s="5">
        <v>500</v>
      </c>
      <c r="G11" s="5">
        <v>500</v>
      </c>
      <c r="H11" s="5">
        <v>0</v>
      </c>
      <c r="I11" s="5"/>
      <c r="J11" s="5"/>
      <c r="K11" s="5"/>
      <c r="L11" s="5"/>
      <c r="M11" s="5"/>
      <c r="N11" s="5"/>
      <c r="O11" s="5"/>
      <c r="P11" s="5"/>
      <c r="Q11" s="5">
        <f t="shared" si="0"/>
        <v>2000</v>
      </c>
    </row>
    <row r="12" spans="1:17" ht="26.25" customHeight="1">
      <c r="A12" s="19" t="s">
        <v>490</v>
      </c>
      <c r="B12" s="19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>
        <f t="shared" si="0"/>
        <v>0</v>
      </c>
    </row>
    <row r="13" spans="1:17" ht="15">
      <c r="A13" s="5" t="s">
        <v>492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>
        <f t="shared" si="0"/>
        <v>0</v>
      </c>
    </row>
    <row r="14" spans="1:17" ht="15">
      <c r="A14" s="5" t="s">
        <v>493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>
        <f t="shared" si="0"/>
        <v>0</v>
      </c>
    </row>
    <row r="15" spans="1:17" ht="21.75" customHeight="1">
      <c r="A15" s="5" t="s">
        <v>494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>
        <f t="shared" si="0"/>
        <v>0</v>
      </c>
    </row>
    <row r="16" spans="1:17" ht="32.25" customHeight="1">
      <c r="A16" s="19" t="s">
        <v>473</v>
      </c>
      <c r="B16" s="19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>
        <f t="shared" si="0"/>
        <v>0</v>
      </c>
    </row>
    <row r="17" spans="1:17" ht="31.5" customHeight="1">
      <c r="A17" s="19" t="s">
        <v>533</v>
      </c>
      <c r="B17" s="19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>
        <f t="shared" si="0"/>
        <v>0</v>
      </c>
    </row>
    <row r="18" spans="1:17" ht="31.5" customHeight="1">
      <c r="A18" s="19" t="s">
        <v>706</v>
      </c>
      <c r="B18" s="19"/>
      <c r="C18" s="5"/>
      <c r="D18" s="5"/>
      <c r="E18" s="5"/>
      <c r="F18" s="5"/>
      <c r="G18" s="5">
        <v>2484.96</v>
      </c>
      <c r="H18" s="5"/>
      <c r="I18" s="5"/>
      <c r="J18" s="5"/>
      <c r="K18" s="5"/>
      <c r="L18" s="5"/>
      <c r="M18" s="5"/>
      <c r="N18" s="5"/>
      <c r="O18" s="5"/>
      <c r="P18" s="5"/>
      <c r="Q18" s="5">
        <f>SUM(D18:O18)</f>
        <v>2484.96</v>
      </c>
    </row>
    <row r="19" spans="1:17" ht="15">
      <c r="A19" s="19" t="s">
        <v>497</v>
      </c>
      <c r="B19" s="19"/>
      <c r="C19" s="5"/>
      <c r="D19" s="5"/>
      <c r="E19" s="5"/>
      <c r="F19" s="5"/>
      <c r="G19" s="5"/>
      <c r="H19" s="5">
        <v>11903</v>
      </c>
      <c r="I19" s="5"/>
      <c r="J19" s="5"/>
      <c r="K19" s="5"/>
      <c r="L19" s="5"/>
      <c r="M19" s="5"/>
      <c r="N19" s="5"/>
      <c r="O19" s="5"/>
      <c r="P19" s="5"/>
      <c r="Q19" s="5">
        <f t="shared" si="0"/>
        <v>11903</v>
      </c>
    </row>
    <row r="20" spans="1:17" ht="15">
      <c r="A20" s="19" t="s">
        <v>724</v>
      </c>
      <c r="B20" s="19"/>
      <c r="C20" s="5"/>
      <c r="D20" s="5"/>
      <c r="E20" s="5"/>
      <c r="F20" s="5"/>
      <c r="G20" s="5">
        <v>828.32</v>
      </c>
      <c r="H20" s="5"/>
      <c r="I20" s="5"/>
      <c r="J20" s="5"/>
      <c r="K20" s="5"/>
      <c r="L20" s="5"/>
      <c r="M20" s="5"/>
      <c r="N20" s="5"/>
      <c r="O20" s="5"/>
      <c r="P20" s="5"/>
      <c r="Q20" s="5">
        <v>828.32</v>
      </c>
    </row>
    <row r="21" spans="1:17" ht="30">
      <c r="A21" s="19" t="s">
        <v>534</v>
      </c>
      <c r="B21" s="1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f t="shared" si="0"/>
        <v>0</v>
      </c>
    </row>
    <row r="22" spans="1:17" ht="15">
      <c r="A22" s="19" t="s">
        <v>226</v>
      </c>
      <c r="B22" s="1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>
        <f t="shared" si="0"/>
        <v>0</v>
      </c>
    </row>
    <row r="23" spans="1:17" ht="15">
      <c r="A23" s="19" t="s">
        <v>300</v>
      </c>
      <c r="B23" s="19"/>
      <c r="C23" s="5"/>
      <c r="D23" s="5"/>
      <c r="E23" s="5"/>
      <c r="F23" s="5"/>
      <c r="G23" s="5">
        <v>360</v>
      </c>
      <c r="H23" s="5"/>
      <c r="I23" s="5"/>
      <c r="J23" s="5"/>
      <c r="K23" s="5"/>
      <c r="L23" s="5"/>
      <c r="M23" s="5"/>
      <c r="N23" s="5"/>
      <c r="O23" s="5"/>
      <c r="P23" s="5"/>
      <c r="Q23" s="5">
        <f t="shared" si="0"/>
        <v>360</v>
      </c>
    </row>
    <row r="24" spans="1:17" ht="15">
      <c r="A24" s="19" t="s">
        <v>713</v>
      </c>
      <c r="B24" s="19"/>
      <c r="C24" s="5"/>
      <c r="D24" s="5"/>
      <c r="E24" s="5"/>
      <c r="F24" s="5"/>
      <c r="G24" s="5">
        <v>4966.2</v>
      </c>
      <c r="H24" s="5"/>
      <c r="I24" s="5"/>
      <c r="J24" s="5"/>
      <c r="K24" s="5"/>
      <c r="L24" s="5"/>
      <c r="M24" s="5"/>
      <c r="N24" s="5"/>
      <c r="O24" s="5"/>
      <c r="P24" s="5"/>
      <c r="Q24" s="5">
        <f>SUM(D24:O24)</f>
        <v>4966.2</v>
      </c>
    </row>
    <row r="25" spans="1:17" ht="45">
      <c r="A25" s="19" t="s">
        <v>309</v>
      </c>
      <c r="B25" s="19"/>
      <c r="C25" s="5"/>
      <c r="D25" s="5"/>
      <c r="E25" s="5"/>
      <c r="F25" s="5"/>
      <c r="G25" s="5">
        <v>2011.4</v>
      </c>
      <c r="H25" s="5"/>
      <c r="I25" s="5"/>
      <c r="J25" s="5"/>
      <c r="K25" s="5"/>
      <c r="L25" s="5"/>
      <c r="M25" s="5"/>
      <c r="N25" s="5"/>
      <c r="O25" s="5"/>
      <c r="P25" s="5"/>
      <c r="Q25" s="5">
        <f t="shared" si="0"/>
        <v>2011.4</v>
      </c>
    </row>
    <row r="26" spans="1:17" ht="45">
      <c r="A26" s="19" t="s">
        <v>310</v>
      </c>
      <c r="B26" s="19"/>
      <c r="C26" s="5"/>
      <c r="D26" s="5"/>
      <c r="E26" s="5"/>
      <c r="F26" s="5"/>
      <c r="G26" s="5">
        <v>2027.32</v>
      </c>
      <c r="H26" s="5"/>
      <c r="I26" s="5"/>
      <c r="J26" s="5"/>
      <c r="K26" s="5"/>
      <c r="L26" s="5"/>
      <c r="M26" s="5"/>
      <c r="N26" s="5"/>
      <c r="O26" s="5"/>
      <c r="P26" s="5"/>
      <c r="Q26" s="5">
        <f t="shared" si="0"/>
        <v>2027.32</v>
      </c>
    </row>
    <row r="27" spans="1:17" ht="30">
      <c r="A27" s="19" t="s">
        <v>702</v>
      </c>
      <c r="B27" s="19"/>
      <c r="C27" s="5"/>
      <c r="D27" s="5"/>
      <c r="E27" s="5"/>
      <c r="F27" s="5"/>
      <c r="G27" s="5">
        <v>365.54</v>
      </c>
      <c r="H27" s="5"/>
      <c r="I27" s="5"/>
      <c r="J27" s="5"/>
      <c r="K27" s="5"/>
      <c r="L27" s="5"/>
      <c r="M27" s="5"/>
      <c r="N27" s="5"/>
      <c r="O27" s="5"/>
      <c r="P27" s="5"/>
      <c r="Q27" s="5">
        <v>365.54</v>
      </c>
    </row>
    <row r="28" spans="1:17" ht="27.75" customHeight="1">
      <c r="A28" s="19" t="s">
        <v>655</v>
      </c>
      <c r="B28" s="19"/>
      <c r="C28" s="5"/>
      <c r="D28" s="5"/>
      <c r="E28" s="5"/>
      <c r="F28" s="5"/>
      <c r="G28" s="5"/>
      <c r="H28" s="5">
        <v>97.68</v>
      </c>
      <c r="I28" s="5"/>
      <c r="J28" s="5"/>
      <c r="K28" s="5"/>
      <c r="L28" s="5"/>
      <c r="M28" s="5"/>
      <c r="N28" s="5"/>
      <c r="O28" s="5"/>
      <c r="P28" s="5"/>
      <c r="Q28" s="5">
        <f>SUM(C28:O28)</f>
        <v>97.68</v>
      </c>
    </row>
    <row r="29" spans="1:17" ht="27.75" customHeight="1">
      <c r="A29" s="19" t="s">
        <v>731</v>
      </c>
      <c r="B29" s="19"/>
      <c r="C29" s="5"/>
      <c r="D29" s="5"/>
      <c r="E29" s="5"/>
      <c r="F29" s="5"/>
      <c r="G29" s="5">
        <v>207.08</v>
      </c>
      <c r="H29" s="5"/>
      <c r="I29" s="5"/>
      <c r="J29" s="5"/>
      <c r="K29" s="5"/>
      <c r="L29" s="5"/>
      <c r="M29" s="5"/>
      <c r="N29" s="5"/>
      <c r="O29" s="5"/>
      <c r="P29" s="5"/>
      <c r="Q29" s="5">
        <v>207.08</v>
      </c>
    </row>
    <row r="30" spans="1:17" ht="30">
      <c r="A30" s="19" t="s">
        <v>311</v>
      </c>
      <c r="B30" s="19"/>
      <c r="C30" s="5"/>
      <c r="D30" s="5"/>
      <c r="E30" s="5"/>
      <c r="F30" s="5">
        <v>1382.25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>
        <f t="shared" si="0"/>
        <v>1382.25</v>
      </c>
    </row>
    <row r="31" spans="1:17" ht="15">
      <c r="A31" s="19" t="s">
        <v>789</v>
      </c>
      <c r="B31" s="19"/>
      <c r="C31" s="5"/>
      <c r="D31" s="5"/>
      <c r="E31" s="5"/>
      <c r="F31" s="5"/>
      <c r="G31" s="5"/>
      <c r="H31" s="5"/>
      <c r="I31" s="5">
        <v>1154.36</v>
      </c>
      <c r="J31" s="5"/>
      <c r="K31" s="5"/>
      <c r="L31" s="5"/>
      <c r="M31" s="5"/>
      <c r="N31" s="5"/>
      <c r="O31" s="5"/>
      <c r="P31" s="5"/>
      <c r="Q31" s="5">
        <v>1154.36</v>
      </c>
    </row>
    <row r="32" spans="1:17" ht="27.75" customHeight="1">
      <c r="A32" s="19" t="s">
        <v>668</v>
      </c>
      <c r="B32" s="19"/>
      <c r="C32" s="5"/>
      <c r="D32" s="5"/>
      <c r="E32" s="5"/>
      <c r="F32" s="5"/>
      <c r="G32" s="5">
        <v>25000</v>
      </c>
      <c r="H32" s="5"/>
      <c r="I32" s="5"/>
      <c r="J32" s="5"/>
      <c r="K32" s="5"/>
      <c r="L32" s="5"/>
      <c r="M32" s="5"/>
      <c r="N32" s="5"/>
      <c r="O32" s="5"/>
      <c r="P32" s="5"/>
      <c r="Q32" s="5">
        <f>SUM(D32:O32)</f>
        <v>25000</v>
      </c>
    </row>
    <row r="33" spans="1:17" ht="45">
      <c r="A33" s="19" t="s">
        <v>312</v>
      </c>
      <c r="B33" s="19"/>
      <c r="C33" s="5"/>
      <c r="D33" s="5"/>
      <c r="E33" s="5">
        <v>197.34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>
        <f t="shared" si="0"/>
        <v>197.34</v>
      </c>
    </row>
    <row r="34" spans="1:17" ht="15">
      <c r="A34" s="19" t="s">
        <v>4</v>
      </c>
      <c r="B34" s="19"/>
      <c r="C34" s="5"/>
      <c r="D34" s="5"/>
      <c r="E34" s="5"/>
      <c r="F34" s="5"/>
      <c r="G34" s="5"/>
      <c r="H34" s="5"/>
      <c r="I34" s="5"/>
      <c r="J34" s="5"/>
      <c r="K34" s="5">
        <v>2282</v>
      </c>
      <c r="L34" s="5"/>
      <c r="M34" s="5"/>
      <c r="N34" s="5"/>
      <c r="O34" s="5"/>
      <c r="P34" s="5"/>
      <c r="Q34" s="5">
        <v>2282</v>
      </c>
    </row>
    <row r="35" spans="1:17" ht="30">
      <c r="A35" s="19" t="s">
        <v>314</v>
      </c>
      <c r="B35" s="19"/>
      <c r="C35" s="5"/>
      <c r="D35" s="5">
        <v>17569.97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>
        <f t="shared" si="0"/>
        <v>17569.97</v>
      </c>
    </row>
    <row r="36" spans="1:17" ht="26.25" customHeight="1">
      <c r="A36" s="19" t="s">
        <v>315</v>
      </c>
      <c r="B36" s="19"/>
      <c r="C36" s="5"/>
      <c r="D36" s="5">
        <v>103.54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>
        <f t="shared" si="0"/>
        <v>103.54</v>
      </c>
    </row>
    <row r="37" spans="1:17" ht="30">
      <c r="A37" s="19" t="s">
        <v>313</v>
      </c>
      <c r="B37" s="19"/>
      <c r="C37" s="5"/>
      <c r="D37" s="5"/>
      <c r="E37" s="5">
        <v>4004.96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>
        <f t="shared" si="0"/>
        <v>4004.96</v>
      </c>
    </row>
    <row r="38" spans="1:17" ht="15">
      <c r="A38" s="19" t="s">
        <v>316</v>
      </c>
      <c r="B38" s="19"/>
      <c r="C38" s="5"/>
      <c r="D38" s="5">
        <v>2183.14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>
        <f t="shared" si="0"/>
        <v>2183.14</v>
      </c>
    </row>
    <row r="39" spans="1:17" ht="15">
      <c r="A39" s="19" t="s">
        <v>429</v>
      </c>
      <c r="B39" s="19"/>
      <c r="C39" s="5"/>
      <c r="D39" s="5">
        <v>68.28</v>
      </c>
      <c r="E39" s="5">
        <v>68.28</v>
      </c>
      <c r="F39" s="5">
        <v>68.28</v>
      </c>
      <c r="G39" s="5">
        <v>68.28</v>
      </c>
      <c r="H39" s="5">
        <v>68.28</v>
      </c>
      <c r="I39" s="5">
        <v>47.5</v>
      </c>
      <c r="J39" s="5">
        <v>215.24</v>
      </c>
      <c r="K39" s="5">
        <v>215.24</v>
      </c>
      <c r="L39" s="5"/>
      <c r="M39" s="5"/>
      <c r="N39" s="5"/>
      <c r="O39" s="5"/>
      <c r="P39" s="5"/>
      <c r="Q39" s="5">
        <f t="shared" si="0"/>
        <v>819.38</v>
      </c>
    </row>
    <row r="40" spans="1:17" ht="15">
      <c r="A40" s="19" t="s">
        <v>671</v>
      </c>
      <c r="B40" s="19"/>
      <c r="C40" s="5"/>
      <c r="D40" s="5"/>
      <c r="E40" s="5"/>
      <c r="F40" s="5"/>
      <c r="G40" s="5"/>
      <c r="H40" s="5">
        <v>3700</v>
      </c>
      <c r="I40" s="5"/>
      <c r="J40" s="5"/>
      <c r="K40" s="5"/>
      <c r="L40" s="5"/>
      <c r="M40" s="5"/>
      <c r="N40" s="5"/>
      <c r="O40" s="5"/>
      <c r="P40" s="5"/>
      <c r="Q40" s="5">
        <f t="shared" si="0"/>
        <v>3700</v>
      </c>
    </row>
    <row r="41" spans="1:17" ht="15">
      <c r="A41" s="19" t="s">
        <v>269</v>
      </c>
      <c r="B41" s="19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>
        <f t="shared" si="0"/>
        <v>0</v>
      </c>
    </row>
    <row r="42" spans="1:17" ht="15">
      <c r="A42" s="5" t="s">
        <v>415</v>
      </c>
      <c r="B42" s="5"/>
      <c r="C42" s="5"/>
      <c r="D42" s="5">
        <f aca="true" t="shared" si="1" ref="D42:Q42">SUM(D4:D41)</f>
        <v>33528.294</v>
      </c>
      <c r="E42" s="5">
        <f t="shared" si="1"/>
        <v>17873.944</v>
      </c>
      <c r="F42" s="5">
        <f t="shared" si="1"/>
        <v>15053.894000000002</v>
      </c>
      <c r="G42" s="5">
        <f t="shared" si="1"/>
        <v>51922.46400000001</v>
      </c>
      <c r="H42" s="5">
        <f t="shared" si="1"/>
        <v>28872.324</v>
      </c>
      <c r="I42" s="5">
        <f t="shared" si="1"/>
        <v>14305.230000000001</v>
      </c>
      <c r="J42" s="5">
        <f t="shared" si="1"/>
        <v>13318.61</v>
      </c>
      <c r="K42" s="5">
        <f t="shared" si="1"/>
        <v>15600.61</v>
      </c>
      <c r="L42" s="5">
        <f t="shared" si="1"/>
        <v>0</v>
      </c>
      <c r="M42" s="5">
        <f t="shared" si="1"/>
        <v>0</v>
      </c>
      <c r="N42" s="5">
        <f t="shared" si="1"/>
        <v>0</v>
      </c>
      <c r="O42" s="5">
        <f t="shared" si="1"/>
        <v>0</v>
      </c>
      <c r="P42" s="5">
        <f t="shared" si="1"/>
        <v>0</v>
      </c>
      <c r="Q42" s="5">
        <f t="shared" si="1"/>
        <v>190475.37</v>
      </c>
    </row>
    <row r="43" spans="1:17" ht="15">
      <c r="A43" s="5" t="s">
        <v>419</v>
      </c>
      <c r="B43" s="5"/>
      <c r="C43" s="5"/>
      <c r="D43" s="5">
        <v>26161.11</v>
      </c>
      <c r="E43" s="5">
        <v>17499.48</v>
      </c>
      <c r="F43" s="5">
        <v>20784.82</v>
      </c>
      <c r="G43" s="5">
        <v>23021.12</v>
      </c>
      <c r="H43" s="5">
        <v>19850.02</v>
      </c>
      <c r="I43" s="5">
        <v>18106.16</v>
      </c>
      <c r="J43" s="5">
        <v>25072.67</v>
      </c>
      <c r="K43" s="5">
        <v>22736.29</v>
      </c>
      <c r="L43" s="5"/>
      <c r="M43" s="5"/>
      <c r="N43" s="5"/>
      <c r="O43" s="5"/>
      <c r="P43" s="5"/>
      <c r="Q43" s="5">
        <f>SUM(D43:O43)</f>
        <v>173231.67</v>
      </c>
    </row>
    <row r="44" spans="1:17" ht="30">
      <c r="A44" s="19" t="s">
        <v>693</v>
      </c>
      <c r="B44" s="5"/>
      <c r="C44" s="5"/>
      <c r="D44" s="5"/>
      <c r="E44" s="5">
        <v>1345.3</v>
      </c>
      <c r="F44" s="5">
        <v>4375.2</v>
      </c>
      <c r="G44" s="5">
        <v>20578.54</v>
      </c>
      <c r="H44" s="5">
        <v>7369.36</v>
      </c>
      <c r="I44" s="5">
        <f>41013.6+616.4</f>
        <v>41630</v>
      </c>
      <c r="J44" s="5"/>
      <c r="K44" s="5">
        <f>9016+1849.2+10198.2</f>
        <v>21063.4</v>
      </c>
      <c r="L44" s="5"/>
      <c r="M44" s="5"/>
      <c r="N44" s="5"/>
      <c r="O44" s="5"/>
      <c r="P44" s="5"/>
      <c r="Q44" s="5">
        <f>SUM(D44:P44)</f>
        <v>96361.79999999999</v>
      </c>
    </row>
    <row r="45" spans="1:17" s="12" customFormat="1" ht="15.75">
      <c r="A45" s="6" t="s">
        <v>420</v>
      </c>
      <c r="B45" s="6"/>
      <c r="C45" s="6"/>
      <c r="D45" s="6"/>
      <c r="E45" s="6"/>
      <c r="F45" s="6"/>
      <c r="G45" s="6"/>
      <c r="H45" s="6"/>
      <c r="I45" s="6"/>
      <c r="J45" s="6"/>
      <c r="K45" s="6" t="s">
        <v>428</v>
      </c>
      <c r="L45" s="6"/>
      <c r="M45" s="6"/>
      <c r="N45" s="6"/>
      <c r="O45" s="6"/>
      <c r="P45" s="6"/>
      <c r="Q45" s="6">
        <f>SUM(Q43+Q44+Q46+Q47-Q42+Q1)</f>
        <v>78837.98999999998</v>
      </c>
    </row>
    <row r="46" spans="1:17" ht="15">
      <c r="A46" s="5" t="s">
        <v>603</v>
      </c>
      <c r="B46" s="5"/>
      <c r="C46" s="5"/>
      <c r="D46" s="5"/>
      <c r="E46" s="5"/>
      <c r="F46" s="5"/>
      <c r="G46" s="5">
        <v>378</v>
      </c>
      <c r="H46" s="5"/>
      <c r="I46" s="5">
        <v>400</v>
      </c>
      <c r="J46" s="5"/>
      <c r="K46" s="5">
        <v>240</v>
      </c>
      <c r="L46" s="5"/>
      <c r="M46" s="5"/>
      <c r="N46" s="5"/>
      <c r="O46" s="5"/>
      <c r="P46" s="5"/>
      <c r="Q46" s="5">
        <f>SUM(G46:O46)</f>
        <v>1018</v>
      </c>
    </row>
    <row r="47" spans="1:17" ht="15">
      <c r="A47" s="5" t="s">
        <v>527</v>
      </c>
      <c r="B47" s="43"/>
      <c r="C47" s="43"/>
      <c r="D47" s="44"/>
      <c r="E47" s="44"/>
      <c r="F47" s="44"/>
      <c r="G47" s="45">
        <v>3675</v>
      </c>
      <c r="H47" s="5">
        <v>1513.5</v>
      </c>
      <c r="I47" s="5">
        <v>600</v>
      </c>
      <c r="J47" s="5"/>
      <c r="K47" s="5">
        <v>140</v>
      </c>
      <c r="L47" s="5"/>
      <c r="M47" s="5"/>
      <c r="N47" s="5"/>
      <c r="O47" s="5"/>
      <c r="P47" s="5"/>
      <c r="Q47" s="5">
        <f>SUM(G47:O47)</f>
        <v>5928.5</v>
      </c>
    </row>
    <row r="48" spans="1:17" ht="15">
      <c r="A48" s="5"/>
      <c r="B48" s="20"/>
      <c r="C48" s="73" t="s">
        <v>481</v>
      </c>
      <c r="D48" s="74"/>
      <c r="E48" s="74"/>
      <c r="F48" s="74"/>
      <c r="G48" s="7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1" spans="1:8" ht="12.75">
      <c r="A51" s="12"/>
      <c r="B51" s="12"/>
      <c r="H51" s="14" t="s">
        <v>428</v>
      </c>
    </row>
    <row r="52" spans="1:2" ht="12.75">
      <c r="A52" s="12"/>
      <c r="B52" s="12"/>
    </row>
  </sheetData>
  <sheetProtection/>
  <mergeCells count="2">
    <mergeCell ref="E1:I1"/>
    <mergeCell ref="C48:G48"/>
  </mergeCells>
  <printOptions/>
  <pageMargins left="0.75" right="0.75" top="1" bottom="1" header="0.5" footer="0.5"/>
  <pageSetup orientation="landscape" paperSize="9" scale="73" r:id="rId1"/>
  <rowBreaks count="1" manualBreakCount="1">
    <brk id="24" max="1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xSplit="8" ySplit="25" topLeftCell="I26" activePane="bottomRight" state="frozen"/>
      <selection pane="topLeft" activeCell="A1" sqref="A1"/>
      <selection pane="topRight" activeCell="I1" sqref="I1"/>
      <selection pane="bottomLeft" activeCell="A22" sqref="A22"/>
      <selection pane="bottomRight" activeCell="E18" sqref="E18"/>
    </sheetView>
  </sheetViews>
  <sheetFormatPr defaultColWidth="9.00390625" defaultRowHeight="12.75"/>
  <cols>
    <col min="1" max="1" width="34.375" style="14" customWidth="1"/>
    <col min="2" max="2" width="11.375" style="14" customWidth="1"/>
    <col min="3" max="3" width="7.25390625" style="14" customWidth="1"/>
    <col min="4" max="4" width="8.75390625" style="14" customWidth="1"/>
    <col min="5" max="5" width="7.125" style="14" customWidth="1"/>
    <col min="6" max="6" width="8.875" style="14" customWidth="1"/>
    <col min="7" max="7" width="7.875" style="14" customWidth="1"/>
    <col min="8" max="8" width="8.625" style="14" customWidth="1"/>
    <col min="9" max="9" width="7.25390625" style="14" customWidth="1"/>
    <col min="10" max="10" width="8.125" style="14" customWidth="1"/>
    <col min="11" max="11" width="9.125" style="14" customWidth="1"/>
    <col min="12" max="12" width="9.75390625" style="14" customWidth="1"/>
    <col min="13" max="13" width="8.375" style="14" customWidth="1"/>
    <col min="14" max="14" width="8.625" style="14" customWidth="1"/>
    <col min="15" max="15" width="7.625" style="14" customWidth="1"/>
    <col min="16" max="16384" width="9.125" style="14" customWidth="1"/>
  </cols>
  <sheetData>
    <row r="1" spans="1:16" s="12" customFormat="1" ht="12.75">
      <c r="A1" s="2" t="s">
        <v>422</v>
      </c>
      <c r="B1" s="2">
        <v>1888.4</v>
      </c>
      <c r="C1" s="2"/>
      <c r="D1" s="2"/>
      <c r="E1" s="2"/>
      <c r="F1" s="2"/>
      <c r="G1" s="2"/>
      <c r="H1" s="2"/>
      <c r="I1" s="2"/>
      <c r="J1" s="2"/>
      <c r="K1" s="2" t="s">
        <v>474</v>
      </c>
      <c r="L1" s="2"/>
      <c r="M1" s="2" t="s">
        <v>607</v>
      </c>
      <c r="N1" s="2"/>
      <c r="O1" s="2"/>
      <c r="P1" s="2">
        <v>-43964.74</v>
      </c>
    </row>
    <row r="2" spans="1:16" s="12" customFormat="1" ht="12.75">
      <c r="A2" s="2" t="s">
        <v>409</v>
      </c>
      <c r="B2" s="2" t="s">
        <v>410</v>
      </c>
      <c r="C2" s="2" t="s">
        <v>434</v>
      </c>
      <c r="D2" s="2" t="s">
        <v>438</v>
      </c>
      <c r="E2" s="2" t="s">
        <v>437</v>
      </c>
      <c r="F2" s="2" t="s">
        <v>436</v>
      </c>
      <c r="G2" s="2" t="s">
        <v>413</v>
      </c>
      <c r="H2" s="2" t="s">
        <v>414</v>
      </c>
      <c r="I2" s="2" t="s">
        <v>416</v>
      </c>
      <c r="J2" s="2" t="s">
        <v>417</v>
      </c>
      <c r="K2" s="2" t="s">
        <v>423</v>
      </c>
      <c r="L2" s="2" t="s">
        <v>424</v>
      </c>
      <c r="M2" s="2" t="s">
        <v>425</v>
      </c>
      <c r="N2" s="2" t="s">
        <v>426</v>
      </c>
      <c r="O2" s="2" t="s">
        <v>434</v>
      </c>
      <c r="P2" s="2" t="s">
        <v>427</v>
      </c>
    </row>
    <row r="3" spans="1:16" ht="12.75">
      <c r="A3" s="1" t="s">
        <v>411</v>
      </c>
      <c r="B3" s="1">
        <v>1.57</v>
      </c>
      <c r="C3" s="1">
        <f>B3*B1</f>
        <v>2964.7880000000005</v>
      </c>
      <c r="D3" s="1">
        <f>B3*B1</f>
        <v>2964.7880000000005</v>
      </c>
      <c r="E3" s="1">
        <f>B3*B1</f>
        <v>2964.7880000000005</v>
      </c>
      <c r="F3" s="1">
        <f>B3*B1</f>
        <v>2964.7880000000005</v>
      </c>
      <c r="G3" s="1">
        <f>B3*B1</f>
        <v>2964.7880000000005</v>
      </c>
      <c r="H3" s="1">
        <f>B3*B1</f>
        <v>2964.7880000000005</v>
      </c>
      <c r="I3" s="1">
        <v>2964.79</v>
      </c>
      <c r="J3" s="1">
        <v>2964.79</v>
      </c>
      <c r="K3" s="1"/>
      <c r="L3" s="1"/>
      <c r="M3" s="1"/>
      <c r="N3" s="1"/>
      <c r="O3" s="1"/>
      <c r="P3" s="1">
        <f>SUM(C3:O3)</f>
        <v>23718.308000000005</v>
      </c>
    </row>
    <row r="4" spans="1:16" ht="12.75">
      <c r="A4" s="1" t="s">
        <v>451</v>
      </c>
      <c r="B4" s="1">
        <v>1.6</v>
      </c>
      <c r="C4" s="1">
        <f>B4*B1</f>
        <v>3021.4400000000005</v>
      </c>
      <c r="D4" s="1">
        <f>B4*B1</f>
        <v>3021.4400000000005</v>
      </c>
      <c r="E4" s="1">
        <f>B4*B1</f>
        <v>3021.4400000000005</v>
      </c>
      <c r="F4" s="1">
        <f>B4*B1</f>
        <v>3021.4400000000005</v>
      </c>
      <c r="G4" s="1">
        <f>B4*B1</f>
        <v>3021.4400000000005</v>
      </c>
      <c r="H4" s="1">
        <v>3021.44</v>
      </c>
      <c r="I4" s="1">
        <v>3021.44</v>
      </c>
      <c r="J4" s="1">
        <v>3021.44</v>
      </c>
      <c r="K4" s="1"/>
      <c r="L4" s="1"/>
      <c r="M4" s="1"/>
      <c r="N4" s="1"/>
      <c r="O4" s="1"/>
      <c r="P4" s="1">
        <f>SUM(C4:O4)</f>
        <v>24171.52</v>
      </c>
    </row>
    <row r="5" spans="1:16" ht="12.75">
      <c r="A5" s="1" t="s">
        <v>412</v>
      </c>
      <c r="B5" s="1">
        <v>1.6</v>
      </c>
      <c r="C5" s="1">
        <f>B5*B1</f>
        <v>3021.4400000000005</v>
      </c>
      <c r="D5" s="1">
        <f>B5*B1</f>
        <v>3021.4400000000005</v>
      </c>
      <c r="E5" s="1">
        <f>B5*B1</f>
        <v>3021.4400000000005</v>
      </c>
      <c r="F5" s="1">
        <f>B5*B1</f>
        <v>3021.4400000000005</v>
      </c>
      <c r="G5" s="1">
        <f>B5*B1</f>
        <v>3021.4400000000005</v>
      </c>
      <c r="H5" s="1">
        <v>3021.44</v>
      </c>
      <c r="I5" s="1">
        <v>3021.44</v>
      </c>
      <c r="J5" s="1">
        <v>3021.44</v>
      </c>
      <c r="K5" s="1"/>
      <c r="L5" s="1"/>
      <c r="M5" s="1"/>
      <c r="N5" s="1"/>
      <c r="O5" s="1"/>
      <c r="P5" s="1">
        <f>SUM(C5:O5)</f>
        <v>24171.52</v>
      </c>
    </row>
    <row r="6" spans="1:16" ht="12.75">
      <c r="A6" s="1" t="s">
        <v>435</v>
      </c>
      <c r="B6" s="1">
        <v>0.66</v>
      </c>
      <c r="C6" s="1">
        <v>1246.34</v>
      </c>
      <c r="D6" s="1">
        <v>1246.34</v>
      </c>
      <c r="E6" s="1">
        <v>1246.34</v>
      </c>
      <c r="F6" s="1">
        <v>1246.34</v>
      </c>
      <c r="G6" s="1">
        <v>1246.34</v>
      </c>
      <c r="H6" s="1">
        <v>1246.34</v>
      </c>
      <c r="I6" s="1">
        <v>1246.34</v>
      </c>
      <c r="J6" s="1">
        <v>1246.34</v>
      </c>
      <c r="K6" s="1"/>
      <c r="L6" s="1"/>
      <c r="M6" s="1"/>
      <c r="N6" s="1"/>
      <c r="O6" s="1"/>
      <c r="P6" s="1">
        <f aca="true" t="shared" si="0" ref="P6:P30">SUM(C6:O6)</f>
        <v>9970.72</v>
      </c>
    </row>
    <row r="7" spans="1:16" ht="12.75">
      <c r="A7" s="1" t="s">
        <v>468</v>
      </c>
      <c r="B7" s="1">
        <v>0.44</v>
      </c>
      <c r="C7" s="1">
        <v>830.9</v>
      </c>
      <c r="D7" s="1">
        <v>830.9</v>
      </c>
      <c r="E7" s="1">
        <v>830.9</v>
      </c>
      <c r="F7" s="1">
        <v>830.9</v>
      </c>
      <c r="G7" s="1">
        <v>830.9</v>
      </c>
      <c r="H7" s="1">
        <v>830.9</v>
      </c>
      <c r="I7" s="1">
        <v>830.9</v>
      </c>
      <c r="J7" s="1">
        <v>830.9</v>
      </c>
      <c r="K7" s="1"/>
      <c r="L7" s="1"/>
      <c r="M7" s="1"/>
      <c r="N7" s="1"/>
      <c r="O7" s="1"/>
      <c r="P7" s="1">
        <f t="shared" si="0"/>
        <v>6647.199999999999</v>
      </c>
    </row>
    <row r="8" spans="1:16" ht="12.75">
      <c r="A8" s="3" t="s">
        <v>253</v>
      </c>
      <c r="B8" s="1"/>
      <c r="C8" s="1">
        <v>2784.32</v>
      </c>
      <c r="D8" s="1">
        <v>2784.32</v>
      </c>
      <c r="E8" s="1">
        <v>2784.32</v>
      </c>
      <c r="F8" s="1">
        <v>2784.32</v>
      </c>
      <c r="G8" s="1">
        <v>2784.32</v>
      </c>
      <c r="H8" s="1">
        <v>2784.32</v>
      </c>
      <c r="I8" s="1">
        <v>2784.32</v>
      </c>
      <c r="J8" s="1">
        <v>2784.32</v>
      </c>
      <c r="K8" s="1"/>
      <c r="L8" s="1"/>
      <c r="M8" s="1"/>
      <c r="N8" s="1"/>
      <c r="O8" s="1"/>
      <c r="P8" s="1">
        <f t="shared" si="0"/>
        <v>22274.56</v>
      </c>
    </row>
    <row r="9" spans="1:16" ht="13.5" customHeight="1">
      <c r="A9" s="3" t="s">
        <v>478</v>
      </c>
      <c r="B9" s="1"/>
      <c r="C9" s="1">
        <v>2037.39</v>
      </c>
      <c r="D9" s="1">
        <v>2037.29</v>
      </c>
      <c r="E9" s="1">
        <v>2037.29</v>
      </c>
      <c r="F9" s="1">
        <v>2037.29</v>
      </c>
      <c r="G9" s="1">
        <v>2037.29</v>
      </c>
      <c r="H9" s="1">
        <v>2037.29</v>
      </c>
      <c r="I9" s="1">
        <v>2037.29</v>
      </c>
      <c r="J9" s="1">
        <v>2037.29</v>
      </c>
      <c r="K9" s="1"/>
      <c r="L9" s="1"/>
      <c r="M9" s="1"/>
      <c r="N9" s="1"/>
      <c r="O9" s="1"/>
      <c r="P9" s="1">
        <f t="shared" si="0"/>
        <v>16298.420000000002</v>
      </c>
    </row>
    <row r="10" spans="1:16" ht="12.75">
      <c r="A10" s="3" t="s">
        <v>480</v>
      </c>
      <c r="B10" s="1"/>
      <c r="C10" s="1">
        <v>86.87</v>
      </c>
      <c r="D10" s="1">
        <v>86.87</v>
      </c>
      <c r="E10" s="1">
        <v>86.87</v>
      </c>
      <c r="F10" s="1">
        <v>86.87</v>
      </c>
      <c r="G10" s="1">
        <v>86.87</v>
      </c>
      <c r="H10" s="1">
        <v>60.43</v>
      </c>
      <c r="I10" s="1">
        <v>273.82</v>
      </c>
      <c r="J10" s="1">
        <v>273.82</v>
      </c>
      <c r="K10" s="1"/>
      <c r="L10" s="1"/>
      <c r="M10" s="1"/>
      <c r="N10" s="1"/>
      <c r="O10" s="1"/>
      <c r="P10" s="1">
        <f t="shared" si="0"/>
        <v>1042.42</v>
      </c>
    </row>
    <row r="11" spans="1:16" ht="12.75">
      <c r="A11" s="3" t="s">
        <v>263</v>
      </c>
      <c r="B11" s="1"/>
      <c r="C11" s="1">
        <v>500</v>
      </c>
      <c r="D11" s="1">
        <v>500</v>
      </c>
      <c r="E11" s="1">
        <v>500</v>
      </c>
      <c r="F11" s="1">
        <v>500</v>
      </c>
      <c r="G11" s="1">
        <v>0</v>
      </c>
      <c r="H11" s="1"/>
      <c r="I11" s="1"/>
      <c r="J11" s="1"/>
      <c r="K11" s="1"/>
      <c r="L11" s="1"/>
      <c r="M11" s="1"/>
      <c r="N11" s="1"/>
      <c r="O11" s="1"/>
      <c r="P11" s="1">
        <f t="shared" si="0"/>
        <v>2000</v>
      </c>
    </row>
    <row r="12" spans="1:16" ht="22.5">
      <c r="A12" s="3" t="s">
        <v>498</v>
      </c>
      <c r="B12" s="1"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f t="shared" si="0"/>
        <v>0</v>
      </c>
    </row>
    <row r="13" spans="1:16" ht="12.75">
      <c r="A13" s="1" t="s">
        <v>506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 t="shared" si="0"/>
        <v>0</v>
      </c>
    </row>
    <row r="14" spans="1:16" ht="12.75">
      <c r="A14" s="1" t="s">
        <v>218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si="0"/>
        <v>0</v>
      </c>
    </row>
    <row r="15" spans="1:16" ht="12.75">
      <c r="A15" s="1" t="s">
        <v>226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f t="shared" si="0"/>
        <v>0</v>
      </c>
    </row>
    <row r="16" spans="1:16" ht="12.75">
      <c r="A16" s="1" t="s">
        <v>516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f t="shared" si="0"/>
        <v>0</v>
      </c>
    </row>
    <row r="17" spans="1:16" ht="12.75">
      <c r="A17" s="1" t="s">
        <v>499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si="0"/>
        <v>0</v>
      </c>
    </row>
    <row r="18" spans="1:16" ht="12.75">
      <c r="A18" s="1" t="s">
        <v>96</v>
      </c>
      <c r="B18" s="1"/>
      <c r="C18" s="1"/>
      <c r="D18" s="1"/>
      <c r="E18" s="1"/>
      <c r="F18" s="1"/>
      <c r="G18" s="1"/>
      <c r="H18" s="1"/>
      <c r="I18" s="1">
        <v>2407.64</v>
      </c>
      <c r="J18" s="1"/>
      <c r="K18" s="1"/>
      <c r="L18" s="1"/>
      <c r="M18" s="1"/>
      <c r="N18" s="1"/>
      <c r="O18" s="1"/>
      <c r="P18" s="1">
        <v>2407.64</v>
      </c>
    </row>
    <row r="19" spans="1:16" ht="12.75">
      <c r="A19" s="1" t="s">
        <v>39</v>
      </c>
      <c r="B19" s="1"/>
      <c r="C19" s="1"/>
      <c r="D19" s="1"/>
      <c r="E19" s="1"/>
      <c r="F19" s="1"/>
      <c r="G19" s="1"/>
      <c r="H19" s="1"/>
      <c r="I19" s="1"/>
      <c r="J19" s="1">
        <v>2030.64</v>
      </c>
      <c r="K19" s="1"/>
      <c r="L19" s="1"/>
      <c r="M19" s="1"/>
      <c r="N19" s="1"/>
      <c r="O19" s="1"/>
      <c r="P19" s="1">
        <v>2030.64</v>
      </c>
    </row>
    <row r="20" spans="1:16" ht="12.75">
      <c r="A20" s="1" t="s">
        <v>560</v>
      </c>
      <c r="B20" s="1"/>
      <c r="C20" s="1"/>
      <c r="D20" s="1"/>
      <c r="E20" s="1"/>
      <c r="F20" s="1">
        <v>414.16</v>
      </c>
      <c r="G20" s="1"/>
      <c r="H20" s="1"/>
      <c r="I20" s="1"/>
      <c r="J20" s="1"/>
      <c r="K20" s="1"/>
      <c r="L20" s="1"/>
      <c r="M20" s="1"/>
      <c r="N20" s="1"/>
      <c r="O20" s="1"/>
      <c r="P20" s="1">
        <f>SUM(C20:O20)</f>
        <v>414.16</v>
      </c>
    </row>
    <row r="21" spans="1:16" ht="12.75">
      <c r="A21" s="1" t="s">
        <v>700</v>
      </c>
      <c r="B21" s="1"/>
      <c r="C21" s="1"/>
      <c r="D21" s="1"/>
      <c r="E21" s="1"/>
      <c r="F21" s="1">
        <v>414.16</v>
      </c>
      <c r="G21" s="1"/>
      <c r="H21" s="1"/>
      <c r="I21" s="1"/>
      <c r="J21" s="1"/>
      <c r="K21" s="1"/>
      <c r="L21" s="1"/>
      <c r="M21" s="1"/>
      <c r="N21" s="1"/>
      <c r="O21" s="1"/>
      <c r="P21" s="1">
        <v>414.16</v>
      </c>
    </row>
    <row r="22" spans="1:16" ht="12.75">
      <c r="A22" s="1" t="s">
        <v>492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f t="shared" si="0"/>
        <v>0</v>
      </c>
    </row>
    <row r="23" spans="1:16" ht="12.75">
      <c r="A23" s="1" t="s">
        <v>493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>
        <f t="shared" si="0"/>
        <v>0</v>
      </c>
    </row>
    <row r="24" spans="1:16" ht="12.75">
      <c r="A24" s="1" t="s">
        <v>770</v>
      </c>
      <c r="B24" s="1"/>
      <c r="C24" s="1"/>
      <c r="D24" s="1"/>
      <c r="E24" s="1"/>
      <c r="F24" s="1"/>
      <c r="G24" s="1"/>
      <c r="H24" s="1"/>
      <c r="I24" s="1"/>
      <c r="J24" s="1">
        <v>9606.28</v>
      </c>
      <c r="K24" s="1"/>
      <c r="L24" s="1"/>
      <c r="M24" s="1"/>
      <c r="N24" s="1"/>
      <c r="O24" s="1"/>
      <c r="P24" s="1">
        <v>9606.28</v>
      </c>
    </row>
    <row r="25" spans="1:16" ht="12.75">
      <c r="A25" s="1" t="s">
        <v>494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>
        <f t="shared" si="0"/>
        <v>0</v>
      </c>
    </row>
    <row r="26" spans="1:16" ht="12.75">
      <c r="A26" s="1" t="s">
        <v>226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>
        <f t="shared" si="0"/>
        <v>0</v>
      </c>
    </row>
    <row r="27" spans="1:16" ht="22.5">
      <c r="A27" s="3" t="s">
        <v>533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>
        <f t="shared" si="0"/>
        <v>0</v>
      </c>
    </row>
    <row r="28" spans="1:16" ht="22.5">
      <c r="A28" s="3" t="s">
        <v>539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>
        <f t="shared" si="0"/>
        <v>0</v>
      </c>
    </row>
    <row r="29" spans="1:16" ht="12.75">
      <c r="A29" s="1" t="s">
        <v>522</v>
      </c>
      <c r="B29" s="1"/>
      <c r="C29" s="1"/>
      <c r="D29" s="1"/>
      <c r="E29" s="1"/>
      <c r="F29" s="1"/>
      <c r="G29" s="1"/>
      <c r="H29" s="1"/>
      <c r="I29" s="1"/>
      <c r="J29" s="1">
        <f>9682+5094</f>
        <v>14776</v>
      </c>
      <c r="K29" s="1"/>
      <c r="L29" s="1"/>
      <c r="M29" s="1"/>
      <c r="N29" s="1"/>
      <c r="O29" s="1"/>
      <c r="P29" s="1">
        <f t="shared" si="0"/>
        <v>14776</v>
      </c>
    </row>
    <row r="30" spans="1:16" ht="12.75">
      <c r="A30" s="3" t="s">
        <v>528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>
        <f t="shared" si="0"/>
        <v>0</v>
      </c>
    </row>
    <row r="31" spans="1:16" ht="12.75">
      <c r="A31" s="1" t="s">
        <v>415</v>
      </c>
      <c r="B31" s="1"/>
      <c r="C31" s="1">
        <f aca="true" t="shared" si="1" ref="C31:P31">SUM(C3:C30)</f>
        <v>16493.488</v>
      </c>
      <c r="D31" s="1">
        <f t="shared" si="1"/>
        <v>16493.388</v>
      </c>
      <c r="E31" s="1">
        <f t="shared" si="1"/>
        <v>16493.388</v>
      </c>
      <c r="F31" s="1">
        <f t="shared" si="1"/>
        <v>17321.708</v>
      </c>
      <c r="G31" s="1">
        <f t="shared" si="1"/>
        <v>15993.388</v>
      </c>
      <c r="H31" s="1">
        <f t="shared" si="1"/>
        <v>15966.948</v>
      </c>
      <c r="I31" s="1">
        <f t="shared" si="1"/>
        <v>18587.98</v>
      </c>
      <c r="J31" s="1">
        <f t="shared" si="1"/>
        <v>42593.26</v>
      </c>
      <c r="K31" s="1">
        <f t="shared" si="1"/>
        <v>0</v>
      </c>
      <c r="L31" s="1">
        <f t="shared" si="1"/>
        <v>0</v>
      </c>
      <c r="M31" s="1">
        <f t="shared" si="1"/>
        <v>0</v>
      </c>
      <c r="N31" s="1">
        <f t="shared" si="1"/>
        <v>0</v>
      </c>
      <c r="O31" s="1">
        <f t="shared" si="1"/>
        <v>0</v>
      </c>
      <c r="P31" s="1">
        <f t="shared" si="1"/>
        <v>159943.54800000004</v>
      </c>
    </row>
    <row r="32" spans="1:16" ht="12.75">
      <c r="A32" s="1" t="s">
        <v>419</v>
      </c>
      <c r="B32" s="1"/>
      <c r="C32" s="1">
        <v>18653.18</v>
      </c>
      <c r="D32" s="1">
        <v>23713.19</v>
      </c>
      <c r="E32" s="1">
        <v>26671.06</v>
      </c>
      <c r="F32" s="1">
        <v>19277.73</v>
      </c>
      <c r="G32" s="1">
        <v>26060.57</v>
      </c>
      <c r="H32" s="1">
        <v>21785.61</v>
      </c>
      <c r="I32" s="1">
        <v>24485.41</v>
      </c>
      <c r="J32" s="1">
        <v>24770.3</v>
      </c>
      <c r="K32" s="1"/>
      <c r="L32" s="1"/>
      <c r="M32" s="1"/>
      <c r="N32" s="1"/>
      <c r="O32" s="1"/>
      <c r="P32" s="1">
        <f>SUM(C32:O32)</f>
        <v>185417.04999999996</v>
      </c>
    </row>
    <row r="33" spans="1:16" s="12" customFormat="1" ht="12.75">
      <c r="A33" s="2" t="s">
        <v>420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>
        <f>SUM(P32+P34+P35-P31+P1)</f>
        <v>-11544.738000000078</v>
      </c>
    </row>
    <row r="34" spans="1:16" ht="12.75">
      <c r="A34" s="1" t="s">
        <v>603</v>
      </c>
      <c r="B34" s="1"/>
      <c r="C34" s="1"/>
      <c r="D34" s="1"/>
      <c r="E34" s="1"/>
      <c r="F34" s="1">
        <v>378</v>
      </c>
      <c r="G34" s="1"/>
      <c r="H34" s="1">
        <v>400</v>
      </c>
      <c r="I34" s="1"/>
      <c r="J34" s="1">
        <v>240</v>
      </c>
      <c r="K34" s="1"/>
      <c r="L34" s="1"/>
      <c r="M34" s="1"/>
      <c r="N34" s="1"/>
      <c r="O34" s="1"/>
      <c r="P34" s="1">
        <f>SUM(F34:O34)</f>
        <v>1018</v>
      </c>
    </row>
    <row r="35" spans="1:16" ht="12.75">
      <c r="A35" s="1" t="s">
        <v>527</v>
      </c>
      <c r="B35" s="46"/>
      <c r="C35" s="47"/>
      <c r="D35" s="47"/>
      <c r="E35" s="47"/>
      <c r="F35" s="48">
        <v>3675</v>
      </c>
      <c r="G35" s="1">
        <v>1513.5</v>
      </c>
      <c r="H35" s="1">
        <v>600</v>
      </c>
      <c r="I35" s="1"/>
      <c r="J35" s="1">
        <v>140</v>
      </c>
      <c r="K35" s="1"/>
      <c r="L35" s="1"/>
      <c r="M35" s="1"/>
      <c r="N35" s="1"/>
      <c r="O35" s="1"/>
      <c r="P35" s="1">
        <f>SUM(F35:O35)</f>
        <v>5928.5</v>
      </c>
    </row>
    <row r="36" spans="1:16" ht="12.75">
      <c r="A36" s="1"/>
      <c r="B36" s="62" t="s">
        <v>481</v>
      </c>
      <c r="C36" s="63"/>
      <c r="D36" s="63"/>
      <c r="E36" s="63"/>
      <c r="F36" s="64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40" ht="12.75">
      <c r="G40" s="14" t="s">
        <v>428</v>
      </c>
    </row>
  </sheetData>
  <sheetProtection/>
  <mergeCells count="1">
    <mergeCell ref="B36:F36"/>
  </mergeCells>
  <printOptions/>
  <pageMargins left="0.7" right="0.7" top="0.75" bottom="0.75" header="0.3" footer="0.3"/>
  <pageSetup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M42" sqref="M42"/>
    </sheetView>
  </sheetViews>
  <sheetFormatPr defaultColWidth="9.00390625" defaultRowHeight="12.75"/>
  <cols>
    <col min="1" max="1" width="34.375" style="14" customWidth="1"/>
    <col min="2" max="2" width="14.375" style="14" customWidth="1"/>
    <col min="3" max="3" width="7.25390625" style="14" customWidth="1"/>
    <col min="4" max="4" width="8.75390625" style="14" customWidth="1"/>
    <col min="5" max="5" width="7.125" style="14" customWidth="1"/>
    <col min="6" max="6" width="7.25390625" style="14" customWidth="1"/>
    <col min="7" max="7" width="8.375" style="14" customWidth="1"/>
    <col min="8" max="8" width="9.125" style="14" customWidth="1"/>
    <col min="9" max="9" width="7.25390625" style="14" customWidth="1"/>
    <col min="10" max="16384" width="9.125" style="14" customWidth="1"/>
  </cols>
  <sheetData>
    <row r="1" spans="1:16" s="12" customFormat="1" ht="12.75">
      <c r="A1" s="2" t="s">
        <v>422</v>
      </c>
      <c r="B1" s="2">
        <v>3157</v>
      </c>
      <c r="C1" s="2"/>
      <c r="D1" s="2"/>
      <c r="E1" s="2"/>
      <c r="F1" s="2"/>
      <c r="G1" s="2"/>
      <c r="H1" s="2"/>
      <c r="I1" s="2"/>
      <c r="J1" s="2"/>
      <c r="K1" s="2" t="s">
        <v>475</v>
      </c>
      <c r="L1" s="2"/>
      <c r="M1" s="2"/>
      <c r="N1" s="2"/>
      <c r="O1" s="2"/>
      <c r="P1" s="2">
        <v>27748.98</v>
      </c>
    </row>
    <row r="2" spans="1:16" ht="12.75">
      <c r="A2" s="1" t="s">
        <v>421</v>
      </c>
      <c r="B2" s="1">
        <f>PRODUCT(B1,10.65)</f>
        <v>33622.05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2" customFormat="1" ht="12.75">
      <c r="A3" s="2" t="s">
        <v>409</v>
      </c>
      <c r="B3" s="2" t="s">
        <v>410</v>
      </c>
      <c r="C3" s="2" t="s">
        <v>434</v>
      </c>
      <c r="D3" s="2" t="s">
        <v>438</v>
      </c>
      <c r="E3" s="2" t="s">
        <v>437</v>
      </c>
      <c r="F3" s="2" t="s">
        <v>436</v>
      </c>
      <c r="G3" s="2" t="s">
        <v>413</v>
      </c>
      <c r="H3" s="2" t="s">
        <v>414</v>
      </c>
      <c r="I3" s="2" t="s">
        <v>416</v>
      </c>
      <c r="J3" s="2" t="s">
        <v>417</v>
      </c>
      <c r="K3" s="2" t="s">
        <v>423</v>
      </c>
      <c r="L3" s="2" t="s">
        <v>424</v>
      </c>
      <c r="M3" s="2" t="s">
        <v>425</v>
      </c>
      <c r="N3" s="2" t="s">
        <v>426</v>
      </c>
      <c r="O3" s="2" t="s">
        <v>434</v>
      </c>
      <c r="P3" s="2" t="s">
        <v>427</v>
      </c>
    </row>
    <row r="4" spans="1:16" ht="12.75">
      <c r="A4" s="1" t="s">
        <v>411</v>
      </c>
      <c r="B4" s="1">
        <v>1.57</v>
      </c>
      <c r="C4" s="1">
        <f>B4*B1</f>
        <v>4956.49</v>
      </c>
      <c r="D4" s="1">
        <f>B4*B1</f>
        <v>4956.49</v>
      </c>
      <c r="E4" s="1">
        <f>B4*B1</f>
        <v>4956.49</v>
      </c>
      <c r="F4" s="1">
        <f>B4*B1</f>
        <v>4956.49</v>
      </c>
      <c r="G4" s="1">
        <f>B4*B1</f>
        <v>4956.49</v>
      </c>
      <c r="H4" s="1">
        <v>4956.49</v>
      </c>
      <c r="I4" s="1">
        <v>4956.49</v>
      </c>
      <c r="J4" s="1">
        <v>4956.49</v>
      </c>
      <c r="K4" s="1"/>
      <c r="L4" s="1"/>
      <c r="M4" s="1"/>
      <c r="N4" s="1"/>
      <c r="O4" s="1"/>
      <c r="P4" s="1">
        <f aca="true" t="shared" si="0" ref="P4:P11">SUM(C4:O4)</f>
        <v>39651.91999999999</v>
      </c>
    </row>
    <row r="5" spans="1:16" ht="12.75">
      <c r="A5" s="1" t="s">
        <v>451</v>
      </c>
      <c r="B5" s="1">
        <v>1.6</v>
      </c>
      <c r="C5" s="1">
        <f>B5*B1</f>
        <v>5051.200000000001</v>
      </c>
      <c r="D5" s="1">
        <f>B5*B1</f>
        <v>5051.200000000001</v>
      </c>
      <c r="E5" s="1">
        <f>B5*B1</f>
        <v>5051.200000000001</v>
      </c>
      <c r="F5" s="1">
        <f>B5*B1</f>
        <v>5051.200000000001</v>
      </c>
      <c r="G5" s="1">
        <f>B5*B1</f>
        <v>5051.200000000001</v>
      </c>
      <c r="H5" s="1">
        <v>5051.2</v>
      </c>
      <c r="I5" s="1">
        <v>5051.2</v>
      </c>
      <c r="J5" s="1">
        <v>5051.2</v>
      </c>
      <c r="K5" s="1"/>
      <c r="L5" s="1"/>
      <c r="M5" s="1"/>
      <c r="N5" s="1"/>
      <c r="O5" s="1"/>
      <c r="P5" s="1">
        <f t="shared" si="0"/>
        <v>40409.6</v>
      </c>
    </row>
    <row r="6" spans="1:16" ht="12.75">
      <c r="A6" s="1" t="s">
        <v>412</v>
      </c>
      <c r="B6" s="1">
        <v>1.6</v>
      </c>
      <c r="C6" s="1">
        <f>B6*B1</f>
        <v>5051.200000000001</v>
      </c>
      <c r="D6" s="1">
        <f>B6*B1</f>
        <v>5051.200000000001</v>
      </c>
      <c r="E6" s="1">
        <f>B6*B1</f>
        <v>5051.200000000001</v>
      </c>
      <c r="F6" s="1">
        <f>B6*B1</f>
        <v>5051.200000000001</v>
      </c>
      <c r="G6" s="1">
        <f>B6*B1</f>
        <v>5051.200000000001</v>
      </c>
      <c r="H6" s="1">
        <v>5051.2</v>
      </c>
      <c r="I6" s="1">
        <v>5051.2</v>
      </c>
      <c r="J6" s="1">
        <v>5051.2</v>
      </c>
      <c r="K6" s="1"/>
      <c r="L6" s="1"/>
      <c r="M6" s="1"/>
      <c r="N6" s="1"/>
      <c r="O6" s="1"/>
      <c r="P6" s="1">
        <f t="shared" si="0"/>
        <v>40409.6</v>
      </c>
    </row>
    <row r="7" spans="1:16" ht="12.75">
      <c r="A7" s="1" t="s">
        <v>491</v>
      </c>
      <c r="B7" s="1">
        <v>0.44</v>
      </c>
      <c r="C7" s="1">
        <v>1389.08</v>
      </c>
      <c r="D7" s="1">
        <v>1389.08</v>
      </c>
      <c r="E7" s="1">
        <v>1389.08</v>
      </c>
      <c r="F7" s="1">
        <v>1389.08</v>
      </c>
      <c r="G7" s="1">
        <v>1389.08</v>
      </c>
      <c r="H7" s="1">
        <v>1389.08</v>
      </c>
      <c r="I7" s="1">
        <v>1389.08</v>
      </c>
      <c r="J7" s="1">
        <v>1389.08</v>
      </c>
      <c r="K7" s="1"/>
      <c r="L7" s="1"/>
      <c r="M7" s="1"/>
      <c r="N7" s="1"/>
      <c r="O7" s="1"/>
      <c r="P7" s="1">
        <f t="shared" si="0"/>
        <v>11112.64</v>
      </c>
    </row>
    <row r="8" spans="1:16" ht="12.75">
      <c r="A8" s="1" t="s">
        <v>435</v>
      </c>
      <c r="B8" s="1">
        <v>0.66</v>
      </c>
      <c r="C8" s="1">
        <v>2083.62</v>
      </c>
      <c r="D8" s="1">
        <v>2083.62</v>
      </c>
      <c r="E8" s="1">
        <v>2083.62</v>
      </c>
      <c r="F8" s="1">
        <v>2083.62</v>
      </c>
      <c r="G8" s="1">
        <v>2083.62</v>
      </c>
      <c r="H8" s="1">
        <v>2083.62</v>
      </c>
      <c r="I8" s="1">
        <v>2083.62</v>
      </c>
      <c r="J8" s="1">
        <v>2083.62</v>
      </c>
      <c r="K8" s="1"/>
      <c r="L8" s="1"/>
      <c r="M8" s="1"/>
      <c r="N8" s="1"/>
      <c r="O8" s="1"/>
      <c r="P8" s="1">
        <f t="shared" si="0"/>
        <v>16668.959999999995</v>
      </c>
    </row>
    <row r="9" spans="1:16" ht="12.75">
      <c r="A9" s="3" t="s">
        <v>478</v>
      </c>
      <c r="B9" s="1"/>
      <c r="C9" s="1">
        <v>2984</v>
      </c>
      <c r="D9" s="1">
        <v>2984</v>
      </c>
      <c r="E9" s="1">
        <v>2984</v>
      </c>
      <c r="F9" s="1">
        <v>2984</v>
      </c>
      <c r="G9" s="1">
        <v>2984</v>
      </c>
      <c r="H9" s="1">
        <v>2984</v>
      </c>
      <c r="I9" s="1">
        <v>2984</v>
      </c>
      <c r="J9" s="1">
        <v>2984</v>
      </c>
      <c r="K9" s="1"/>
      <c r="L9" s="1"/>
      <c r="M9" s="1"/>
      <c r="N9" s="1"/>
      <c r="O9" s="1"/>
      <c r="P9" s="1">
        <f t="shared" si="0"/>
        <v>23872</v>
      </c>
    </row>
    <row r="10" spans="1:16" ht="14.25" customHeight="1">
      <c r="A10" s="3" t="s">
        <v>264</v>
      </c>
      <c r="B10" s="1"/>
      <c r="C10" s="1">
        <v>1356</v>
      </c>
      <c r="D10" s="1">
        <v>1356</v>
      </c>
      <c r="E10" s="1">
        <v>1356</v>
      </c>
      <c r="F10" s="1">
        <v>1356</v>
      </c>
      <c r="G10" s="1">
        <v>1356</v>
      </c>
      <c r="H10" s="1">
        <v>1356</v>
      </c>
      <c r="I10" s="1">
        <v>2712</v>
      </c>
      <c r="J10" s="1">
        <v>2712</v>
      </c>
      <c r="K10" s="1"/>
      <c r="L10" s="1"/>
      <c r="M10" s="1"/>
      <c r="N10" s="1"/>
      <c r="O10" s="1"/>
      <c r="P10" s="1">
        <f t="shared" si="0"/>
        <v>13560</v>
      </c>
    </row>
    <row r="11" spans="1:16" ht="12.75">
      <c r="A11" s="3" t="s">
        <v>429</v>
      </c>
      <c r="B11" s="1"/>
      <c r="C11" s="1">
        <v>145.22</v>
      </c>
      <c r="D11" s="1">
        <v>145.22</v>
      </c>
      <c r="E11" s="1">
        <v>145.22</v>
      </c>
      <c r="F11" s="1">
        <v>145.22</v>
      </c>
      <c r="G11" s="1">
        <v>145.22</v>
      </c>
      <c r="H11" s="1">
        <v>101.02</v>
      </c>
      <c r="I11" s="1">
        <v>457.77</v>
      </c>
      <c r="J11" s="1">
        <v>457.77</v>
      </c>
      <c r="K11" s="1"/>
      <c r="L11" s="1"/>
      <c r="M11" s="1"/>
      <c r="N11" s="1"/>
      <c r="O11" s="1"/>
      <c r="P11" s="1">
        <f t="shared" si="0"/>
        <v>1742.6599999999999</v>
      </c>
    </row>
    <row r="12" spans="1:16" ht="22.5">
      <c r="A12" s="3" t="s">
        <v>498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f aca="true" t="shared" si="1" ref="P12:P40">SUM(C12:O12)</f>
        <v>0</v>
      </c>
    </row>
    <row r="13" spans="1:16" ht="12.75">
      <c r="A13" s="1" t="s">
        <v>506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 t="shared" si="1"/>
        <v>0</v>
      </c>
    </row>
    <row r="14" spans="1:16" ht="12.75">
      <c r="A14" s="1" t="s">
        <v>518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si="1"/>
        <v>0</v>
      </c>
    </row>
    <row r="15" spans="1:16" ht="12.75">
      <c r="A15" s="1" t="s">
        <v>226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f t="shared" si="1"/>
        <v>0</v>
      </c>
    </row>
    <row r="16" spans="1:16" ht="22.5">
      <c r="A16" s="3" t="s">
        <v>533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f t="shared" si="1"/>
        <v>0</v>
      </c>
    </row>
    <row r="17" spans="1:16" ht="12.75">
      <c r="A17" s="1" t="s">
        <v>490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si="1"/>
        <v>0</v>
      </c>
    </row>
    <row r="18" spans="1:16" ht="12.75">
      <c r="A18" s="1" t="s">
        <v>504</v>
      </c>
      <c r="B18" s="1"/>
      <c r="C18" s="1"/>
      <c r="D18" s="1"/>
      <c r="E18" s="1"/>
      <c r="F18" s="1"/>
      <c r="G18" s="1"/>
      <c r="H18" s="1">
        <v>12850</v>
      </c>
      <c r="I18" s="1"/>
      <c r="J18" s="1"/>
      <c r="K18" s="1"/>
      <c r="L18" s="1"/>
      <c r="M18" s="1"/>
      <c r="N18" s="1"/>
      <c r="O18" s="1"/>
      <c r="P18" s="1">
        <f t="shared" si="1"/>
        <v>12850</v>
      </c>
    </row>
    <row r="19" spans="1:16" ht="12.75">
      <c r="A19" s="1" t="s">
        <v>499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f t="shared" si="1"/>
        <v>0</v>
      </c>
    </row>
    <row r="20" spans="1:16" ht="12.75">
      <c r="A20" s="1" t="s">
        <v>492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 t="shared" si="1"/>
        <v>0</v>
      </c>
    </row>
    <row r="21" spans="1:16" ht="12.75">
      <c r="A21" s="1" t="s">
        <v>493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f t="shared" si="1"/>
        <v>0</v>
      </c>
    </row>
    <row r="22" spans="1:16" ht="12.75">
      <c r="A22" s="1" t="s">
        <v>494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f t="shared" si="1"/>
        <v>0</v>
      </c>
    </row>
    <row r="23" spans="1:16" ht="12.75">
      <c r="A23" s="3" t="s">
        <v>125</v>
      </c>
      <c r="B23" s="1"/>
      <c r="C23" s="1"/>
      <c r="D23" s="1"/>
      <c r="E23" s="1"/>
      <c r="F23" s="1">
        <v>1956.64</v>
      </c>
      <c r="G23" s="1"/>
      <c r="H23" s="1"/>
      <c r="I23" s="1"/>
      <c r="J23" s="1"/>
      <c r="K23" s="1"/>
      <c r="L23" s="1"/>
      <c r="M23" s="1"/>
      <c r="N23" s="1"/>
      <c r="O23" s="1"/>
      <c r="P23" s="1">
        <f t="shared" si="1"/>
        <v>1956.64</v>
      </c>
    </row>
    <row r="24" spans="1:16" ht="12.75">
      <c r="A24" s="3" t="s">
        <v>472</v>
      </c>
      <c r="B24" s="1"/>
      <c r="C24" s="1"/>
      <c r="D24" s="1"/>
      <c r="E24" s="1"/>
      <c r="F24" s="1">
        <v>376</v>
      </c>
      <c r="G24" s="1"/>
      <c r="H24" s="1"/>
      <c r="I24" s="1"/>
      <c r="J24" s="1"/>
      <c r="K24" s="1"/>
      <c r="L24" s="1"/>
      <c r="M24" s="1"/>
      <c r="N24" s="1"/>
      <c r="O24" s="1"/>
      <c r="P24" s="1">
        <f t="shared" si="1"/>
        <v>376</v>
      </c>
    </row>
    <row r="25" spans="1:16" ht="22.5">
      <c r="A25" s="3" t="s">
        <v>73</v>
      </c>
      <c r="B25" s="1"/>
      <c r="C25" s="1"/>
      <c r="D25" s="1"/>
      <c r="E25" s="1"/>
      <c r="F25" s="1"/>
      <c r="G25" s="1"/>
      <c r="H25" s="1"/>
      <c r="I25" s="1"/>
      <c r="J25" s="1">
        <v>7580.92</v>
      </c>
      <c r="K25" s="1"/>
      <c r="L25" s="1"/>
      <c r="M25" s="1"/>
      <c r="N25" s="1"/>
      <c r="O25" s="1"/>
      <c r="P25" s="1">
        <v>7580.92</v>
      </c>
    </row>
    <row r="26" spans="1:16" ht="12.75">
      <c r="A26" s="3" t="s">
        <v>32</v>
      </c>
      <c r="B26" s="1"/>
      <c r="C26" s="1"/>
      <c r="D26" s="1"/>
      <c r="E26" s="1"/>
      <c r="F26" s="1"/>
      <c r="G26" s="1"/>
      <c r="H26" s="1"/>
      <c r="I26" s="1"/>
      <c r="J26" s="1">
        <v>1327.32</v>
      </c>
      <c r="K26" s="1"/>
      <c r="L26" s="1"/>
      <c r="M26" s="1"/>
      <c r="N26" s="1"/>
      <c r="O26" s="1"/>
      <c r="P26" s="1">
        <v>1327.32</v>
      </c>
    </row>
    <row r="27" spans="1:16" ht="12.75">
      <c r="A27" s="3" t="s">
        <v>24</v>
      </c>
      <c r="B27" s="1"/>
      <c r="C27" s="1"/>
      <c r="D27" s="1"/>
      <c r="E27" s="1"/>
      <c r="F27" s="1"/>
      <c r="G27" s="1"/>
      <c r="H27" s="1"/>
      <c r="I27" s="1"/>
      <c r="J27" s="1">
        <v>6237.28</v>
      </c>
      <c r="K27" s="1"/>
      <c r="L27" s="1"/>
      <c r="M27" s="1"/>
      <c r="N27" s="1"/>
      <c r="O27" s="1"/>
      <c r="P27" s="1">
        <v>6237.28</v>
      </c>
    </row>
    <row r="28" spans="1:16" ht="25.5" customHeight="1">
      <c r="A28" s="3" t="s">
        <v>126</v>
      </c>
      <c r="B28" s="1"/>
      <c r="C28" s="1"/>
      <c r="D28" s="1">
        <v>1317.48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>
        <f t="shared" si="1"/>
        <v>1317.48</v>
      </c>
    </row>
    <row r="29" spans="1:16" ht="12.75">
      <c r="A29" s="3" t="s">
        <v>127</v>
      </c>
      <c r="B29" s="1"/>
      <c r="C29" s="1"/>
      <c r="D29" s="1">
        <v>414.16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>
        <f t="shared" si="1"/>
        <v>414.16</v>
      </c>
    </row>
    <row r="30" spans="1:16" ht="22.5">
      <c r="A30" s="3" t="s">
        <v>128</v>
      </c>
      <c r="B30" s="1"/>
      <c r="C30" s="1"/>
      <c r="D30" s="1">
        <v>828.32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>
        <f t="shared" si="1"/>
        <v>828.32</v>
      </c>
    </row>
    <row r="31" spans="1:16" ht="12.75">
      <c r="A31" s="3" t="s">
        <v>129</v>
      </c>
      <c r="B31" s="1"/>
      <c r="C31" s="1"/>
      <c r="D31" s="1">
        <v>414.16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>
        <f t="shared" si="1"/>
        <v>414.16</v>
      </c>
    </row>
    <row r="32" spans="1:16" ht="12.75">
      <c r="A32" s="3" t="s">
        <v>700</v>
      </c>
      <c r="B32" s="1"/>
      <c r="C32" s="1"/>
      <c r="D32" s="1"/>
      <c r="E32" s="1"/>
      <c r="F32" s="1">
        <v>207.08</v>
      </c>
      <c r="G32" s="1"/>
      <c r="H32" s="1"/>
      <c r="I32" s="1"/>
      <c r="J32" s="1"/>
      <c r="K32" s="1"/>
      <c r="L32" s="1"/>
      <c r="M32" s="1"/>
      <c r="N32" s="1"/>
      <c r="O32" s="1"/>
      <c r="P32" s="1">
        <f>SUM(C32:O32)</f>
        <v>207.08</v>
      </c>
    </row>
    <row r="33" spans="1:16" ht="12.75">
      <c r="A33" s="3" t="s">
        <v>130</v>
      </c>
      <c r="B33" s="1"/>
      <c r="C33" s="1"/>
      <c r="D33" s="1">
        <v>207.08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>
        <f t="shared" si="1"/>
        <v>207.08</v>
      </c>
    </row>
    <row r="34" spans="1:16" ht="12.75">
      <c r="A34" s="3" t="s">
        <v>131</v>
      </c>
      <c r="B34" s="1"/>
      <c r="C34" s="1">
        <v>271.54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>
        <f t="shared" si="1"/>
        <v>271.54</v>
      </c>
    </row>
    <row r="35" spans="1:16" ht="22.5">
      <c r="A35" s="3" t="s">
        <v>653</v>
      </c>
      <c r="B35" s="1"/>
      <c r="C35" s="1"/>
      <c r="D35" s="1"/>
      <c r="E35" s="1"/>
      <c r="F35" s="1"/>
      <c r="G35" s="1">
        <v>2491.64</v>
      </c>
      <c r="H35" s="1"/>
      <c r="I35" s="1"/>
      <c r="J35" s="1"/>
      <c r="K35" s="1"/>
      <c r="L35" s="1"/>
      <c r="M35" s="1"/>
      <c r="N35" s="1"/>
      <c r="O35" s="1"/>
      <c r="P35" s="1">
        <f>SUM(C35:O35)</f>
        <v>2491.64</v>
      </c>
    </row>
    <row r="36" spans="1:16" ht="12.75">
      <c r="A36" s="3" t="s">
        <v>652</v>
      </c>
      <c r="B36" s="1"/>
      <c r="C36" s="1"/>
      <c r="D36" s="1"/>
      <c r="E36" s="1"/>
      <c r="F36" s="1"/>
      <c r="G36" s="1">
        <v>10393.46</v>
      </c>
      <c r="H36" s="1"/>
      <c r="I36" s="1"/>
      <c r="J36" s="1"/>
      <c r="K36" s="1"/>
      <c r="L36" s="1"/>
      <c r="M36" s="1"/>
      <c r="N36" s="1"/>
      <c r="O36" s="1"/>
      <c r="P36" s="1">
        <f>SUM(C36:O36)</f>
        <v>10393.46</v>
      </c>
    </row>
    <row r="37" spans="1:16" ht="22.5">
      <c r="A37" s="3" t="s">
        <v>132</v>
      </c>
      <c r="B37" s="1"/>
      <c r="C37" s="1">
        <v>4470.78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>
        <f t="shared" si="1"/>
        <v>4470.78</v>
      </c>
    </row>
    <row r="38" spans="1:16" ht="12.75">
      <c r="A38" s="3" t="s">
        <v>683</v>
      </c>
      <c r="B38" s="1"/>
      <c r="C38" s="1"/>
      <c r="D38" s="1"/>
      <c r="E38" s="1"/>
      <c r="F38" s="1">
        <v>21350</v>
      </c>
      <c r="G38" s="1"/>
      <c r="H38" s="1"/>
      <c r="I38" s="1"/>
      <c r="J38" s="1"/>
      <c r="K38" s="1"/>
      <c r="L38" s="1"/>
      <c r="M38" s="1"/>
      <c r="N38" s="1"/>
      <c r="O38" s="1"/>
      <c r="P38" s="1">
        <f>SUM(C38:O38)</f>
        <v>21350</v>
      </c>
    </row>
    <row r="39" spans="1:16" ht="22.5">
      <c r="A39" s="3" t="s">
        <v>684</v>
      </c>
      <c r="B39" s="1"/>
      <c r="C39" s="1"/>
      <c r="D39" s="1"/>
      <c r="E39" s="1"/>
      <c r="F39" s="1">
        <v>29295.11</v>
      </c>
      <c r="G39" s="1"/>
      <c r="H39" s="1"/>
      <c r="I39" s="1"/>
      <c r="J39" s="1"/>
      <c r="K39" s="1"/>
      <c r="L39" s="1"/>
      <c r="M39" s="1"/>
      <c r="N39" s="1"/>
      <c r="O39" s="1"/>
      <c r="P39" s="1">
        <f>SUM(C39:O39)</f>
        <v>29295.11</v>
      </c>
    </row>
    <row r="40" spans="1:16" ht="12.75">
      <c r="A40" s="3" t="s">
        <v>626</v>
      </c>
      <c r="B40" s="1"/>
      <c r="C40" s="1"/>
      <c r="D40" s="1"/>
      <c r="E40" s="1"/>
      <c r="F40" s="1"/>
      <c r="G40" s="1">
        <v>610.16</v>
      </c>
      <c r="H40" s="1"/>
      <c r="I40" s="1"/>
      <c r="J40" s="1"/>
      <c r="K40" s="1"/>
      <c r="L40" s="1"/>
      <c r="M40" s="1"/>
      <c r="N40" s="1"/>
      <c r="O40" s="1"/>
      <c r="P40" s="1">
        <f t="shared" si="1"/>
        <v>610.16</v>
      </c>
    </row>
    <row r="41" spans="1:16" ht="12.75">
      <c r="A41" s="1" t="s">
        <v>415</v>
      </c>
      <c r="B41" s="1"/>
      <c r="C41" s="1">
        <f aca="true" t="shared" si="2" ref="C41:N41">SUM(C4:C40)</f>
        <v>27759.13</v>
      </c>
      <c r="D41" s="1">
        <f t="shared" si="2"/>
        <v>26198.010000000002</v>
      </c>
      <c r="E41" s="1">
        <f t="shared" si="2"/>
        <v>23016.81</v>
      </c>
      <c r="F41" s="1">
        <f t="shared" si="2"/>
        <v>76201.64</v>
      </c>
      <c r="G41" s="1">
        <f t="shared" si="2"/>
        <v>36512.07000000001</v>
      </c>
      <c r="H41" s="1">
        <f t="shared" si="2"/>
        <v>35822.61</v>
      </c>
      <c r="I41" s="1">
        <f t="shared" si="2"/>
        <v>24685.36</v>
      </c>
      <c r="J41" s="1">
        <f t="shared" si="2"/>
        <v>39830.88</v>
      </c>
      <c r="K41" s="1">
        <f t="shared" si="2"/>
        <v>0</v>
      </c>
      <c r="L41" s="1">
        <f t="shared" si="2"/>
        <v>0</v>
      </c>
      <c r="M41" s="1">
        <f t="shared" si="2"/>
        <v>0</v>
      </c>
      <c r="N41" s="1">
        <f t="shared" si="2"/>
        <v>0</v>
      </c>
      <c r="O41" s="1">
        <f>SUM(O4:O37)</f>
        <v>0</v>
      </c>
      <c r="P41" s="1">
        <f>SUM(P4:P40)</f>
        <v>290026.51</v>
      </c>
    </row>
    <row r="42" spans="1:16" ht="12.75">
      <c r="A42" s="1" t="s">
        <v>419</v>
      </c>
      <c r="B42" s="1"/>
      <c r="C42" s="1">
        <v>15909.6</v>
      </c>
      <c r="D42" s="1">
        <v>35035.6</v>
      </c>
      <c r="E42" s="1">
        <v>40831.55</v>
      </c>
      <c r="F42" s="1">
        <v>44306.65</v>
      </c>
      <c r="G42" s="1">
        <v>38839.67</v>
      </c>
      <c r="H42" s="1">
        <v>45852.83</v>
      </c>
      <c r="I42" s="1">
        <v>35070.15</v>
      </c>
      <c r="J42" s="1">
        <v>37458.81</v>
      </c>
      <c r="K42" s="1"/>
      <c r="L42" s="1"/>
      <c r="M42" s="1"/>
      <c r="N42" s="1"/>
      <c r="O42" s="1"/>
      <c r="P42" s="1">
        <f>SUM(C42:O42)</f>
        <v>293304.86</v>
      </c>
    </row>
    <row r="43" spans="1:16" ht="12.75">
      <c r="A43" s="3" t="s">
        <v>403</v>
      </c>
      <c r="B43" s="1"/>
      <c r="C43" s="1"/>
      <c r="D43" s="1"/>
      <c r="E43" s="1"/>
      <c r="F43" s="1">
        <f>6334.39+1529.41</f>
        <v>7863.8</v>
      </c>
      <c r="G43" s="1">
        <v>1130.77</v>
      </c>
      <c r="H43" s="1">
        <v>2638.46</v>
      </c>
      <c r="I43" s="1">
        <v>1140.72</v>
      </c>
      <c r="J43" s="1">
        <v>3298.68</v>
      </c>
      <c r="K43" s="1"/>
      <c r="L43" s="1"/>
      <c r="M43" s="1"/>
      <c r="N43" s="1"/>
      <c r="O43" s="1"/>
      <c r="P43" s="1">
        <f>SUM(C43:O43)</f>
        <v>16072.429999999998</v>
      </c>
    </row>
    <row r="44" spans="1:16" s="12" customFormat="1" ht="12.75">
      <c r="A44" s="2" t="s">
        <v>420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>
        <f>SUM(P1+P42+P43+P45+P46-P41)</f>
        <v>54046.25999999995</v>
      </c>
    </row>
    <row r="45" spans="1:16" ht="12.75">
      <c r="A45" s="1" t="s">
        <v>600</v>
      </c>
      <c r="F45" s="14">
        <v>378</v>
      </c>
      <c r="G45" s="1"/>
      <c r="H45" s="1">
        <v>400</v>
      </c>
      <c r="I45" s="1"/>
      <c r="J45" s="1">
        <v>240</v>
      </c>
      <c r="K45" s="1"/>
      <c r="L45" s="1"/>
      <c r="M45" s="1"/>
      <c r="N45" s="1"/>
      <c r="O45" s="1"/>
      <c r="P45" s="1">
        <f>SUM(F45:O45)</f>
        <v>1018</v>
      </c>
    </row>
    <row r="46" spans="1:16" ht="12.75">
      <c r="A46" s="1" t="s">
        <v>527</v>
      </c>
      <c r="B46" s="1"/>
      <c r="C46" s="1"/>
      <c r="D46" s="1"/>
      <c r="E46" s="1"/>
      <c r="F46" s="1">
        <v>3675</v>
      </c>
      <c r="G46" s="1">
        <v>1513.5</v>
      </c>
      <c r="H46" s="1">
        <v>600</v>
      </c>
      <c r="I46" s="1"/>
      <c r="J46" s="1">
        <v>140</v>
      </c>
      <c r="K46" s="1"/>
      <c r="L46" s="1"/>
      <c r="M46" s="1"/>
      <c r="N46" s="1"/>
      <c r="O46" s="1"/>
      <c r="P46" s="1">
        <f>SUM(F46:O46)</f>
        <v>5928.5</v>
      </c>
    </row>
    <row r="47" spans="1:16" ht="12.75">
      <c r="A47" s="1"/>
      <c r="B47" s="62" t="s">
        <v>481</v>
      </c>
      <c r="C47" s="63"/>
      <c r="D47" s="63"/>
      <c r="E47" s="63"/>
      <c r="F47" s="64"/>
      <c r="G47" s="1"/>
      <c r="H47" s="1"/>
      <c r="I47" s="1"/>
      <c r="J47" s="1"/>
      <c r="K47" s="1"/>
      <c r="L47" s="1"/>
      <c r="M47" s="1"/>
      <c r="N47" s="1"/>
      <c r="O47" s="1"/>
      <c r="P47" s="1"/>
    </row>
    <row r="49" spans="7:16" ht="12.75">
      <c r="G49" s="14" t="s">
        <v>428</v>
      </c>
      <c r="P49" s="14">
        <f>SUM(H49:O49)</f>
        <v>0</v>
      </c>
    </row>
  </sheetData>
  <sheetProtection/>
  <mergeCells count="1">
    <mergeCell ref="B47:F47"/>
  </mergeCells>
  <printOptions/>
  <pageMargins left="0.7" right="0.7" top="0.75" bottom="0.75" header="0.3" footer="0.3"/>
  <pageSetup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76"/>
  <sheetViews>
    <sheetView zoomScale="110" zoomScaleNormal="110" zoomScalePageLayoutView="0"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E12" sqref="E12"/>
    </sheetView>
  </sheetViews>
  <sheetFormatPr defaultColWidth="9.00390625" defaultRowHeight="12.75"/>
  <cols>
    <col min="1" max="1" width="38.125" style="11" customWidth="1"/>
    <col min="2" max="2" width="13.125" style="11" customWidth="1"/>
    <col min="3" max="3" width="9.375" style="11" customWidth="1"/>
    <col min="4" max="4" width="12.375" style="11" customWidth="1"/>
    <col min="5" max="5" width="9.875" style="11" customWidth="1"/>
    <col min="6" max="6" width="13.125" style="11" customWidth="1"/>
    <col min="7" max="7" width="10.125" style="11" customWidth="1"/>
    <col min="8" max="8" width="10.00390625" style="11" customWidth="1"/>
    <col min="9" max="9" width="12.375" style="11" customWidth="1"/>
    <col min="10" max="11" width="9.375" style="11" bestFit="1" customWidth="1"/>
    <col min="12" max="12" width="9.25390625" style="11" bestFit="1" customWidth="1"/>
    <col min="13" max="13" width="9.25390625" style="11" customWidth="1"/>
    <col min="14" max="14" width="11.00390625" style="11" customWidth="1"/>
    <col min="15" max="15" width="12.25390625" style="11" customWidth="1"/>
    <col min="16" max="16384" width="9.125" style="11" customWidth="1"/>
  </cols>
  <sheetData>
    <row r="1" spans="1:15" s="12" customFormat="1" ht="12.75">
      <c r="A1" s="12" t="s">
        <v>422</v>
      </c>
      <c r="B1" s="12">
        <v>3709.6</v>
      </c>
      <c r="K1" s="12" t="s">
        <v>467</v>
      </c>
      <c r="O1" s="12">
        <v>-2890.46</v>
      </c>
    </row>
    <row r="2" spans="1:2" ht="12.75">
      <c r="A2" s="11" t="s">
        <v>421</v>
      </c>
      <c r="B2" s="11">
        <f>PRODUCT(B1,10.65)</f>
        <v>39507.24</v>
      </c>
    </row>
    <row r="3" spans="1:15" s="12" customFormat="1" ht="12.75">
      <c r="A3" s="12" t="s">
        <v>409</v>
      </c>
      <c r="B3" s="12" t="s">
        <v>410</v>
      </c>
      <c r="C3" s="12" t="s">
        <v>434</v>
      </c>
      <c r="D3" s="12" t="s">
        <v>438</v>
      </c>
      <c r="E3" s="12" t="s">
        <v>437</v>
      </c>
      <c r="F3" s="12" t="s">
        <v>436</v>
      </c>
      <c r="G3" s="12" t="s">
        <v>413</v>
      </c>
      <c r="H3" s="12" t="s">
        <v>414</v>
      </c>
      <c r="I3" s="12" t="s">
        <v>416</v>
      </c>
      <c r="J3" s="12" t="s">
        <v>417</v>
      </c>
      <c r="K3" s="12" t="s">
        <v>423</v>
      </c>
      <c r="L3" s="12" t="s">
        <v>424</v>
      </c>
      <c r="M3" s="12" t="s">
        <v>425</v>
      </c>
      <c r="N3" s="12" t="s">
        <v>426</v>
      </c>
      <c r="O3" s="12" t="s">
        <v>427</v>
      </c>
    </row>
    <row r="4" spans="1:15" ht="12.75">
      <c r="A4" s="11" t="s">
        <v>411</v>
      </c>
      <c r="B4" s="11">
        <v>1.57</v>
      </c>
      <c r="C4" s="11">
        <f>B4*B1</f>
        <v>5824.072</v>
      </c>
      <c r="D4" s="11">
        <f>B4*B1</f>
        <v>5824.072</v>
      </c>
      <c r="E4" s="11">
        <f>B4*B1</f>
        <v>5824.072</v>
      </c>
      <c r="F4" s="11">
        <f>B4*B1</f>
        <v>5824.072</v>
      </c>
      <c r="G4" s="11">
        <f>B4*B1</f>
        <v>5824.072</v>
      </c>
      <c r="H4" s="11">
        <v>5824.07</v>
      </c>
      <c r="I4" s="11">
        <v>5824.07</v>
      </c>
      <c r="J4" s="11">
        <v>5824.07</v>
      </c>
      <c r="O4" s="11">
        <f aca="true" t="shared" si="0" ref="O4:O65">SUM(C4:N4)</f>
        <v>46592.57</v>
      </c>
    </row>
    <row r="5" spans="1:15" ht="12.75">
      <c r="A5" s="11" t="s">
        <v>451</v>
      </c>
      <c r="B5" s="11">
        <v>1.6</v>
      </c>
      <c r="C5" s="11">
        <f>B5*B1</f>
        <v>5935.360000000001</v>
      </c>
      <c r="D5" s="11">
        <f>B5*B1</f>
        <v>5935.360000000001</v>
      </c>
      <c r="E5" s="11">
        <f>B5*B1</f>
        <v>5935.360000000001</v>
      </c>
      <c r="F5" s="11">
        <f>B5*B1</f>
        <v>5935.360000000001</v>
      </c>
      <c r="G5" s="11">
        <f>B5*B1</f>
        <v>5935.360000000001</v>
      </c>
      <c r="H5" s="11">
        <v>5935.36</v>
      </c>
      <c r="I5" s="11">
        <v>5935.36</v>
      </c>
      <c r="J5" s="11">
        <v>5935.36</v>
      </c>
      <c r="O5" s="11">
        <f t="shared" si="0"/>
        <v>47482.880000000005</v>
      </c>
    </row>
    <row r="6" spans="1:15" ht="12.75">
      <c r="A6" s="11" t="s">
        <v>412</v>
      </c>
      <c r="B6" s="11">
        <v>1.6</v>
      </c>
      <c r="C6" s="11">
        <f>B6*B1</f>
        <v>5935.360000000001</v>
      </c>
      <c r="D6" s="11">
        <f>B6*B1</f>
        <v>5935.360000000001</v>
      </c>
      <c r="E6" s="11">
        <f>B6*B1</f>
        <v>5935.360000000001</v>
      </c>
      <c r="F6" s="11">
        <f>B6*B1</f>
        <v>5935.360000000001</v>
      </c>
      <c r="G6" s="11">
        <f>B6*B1</f>
        <v>5935.360000000001</v>
      </c>
      <c r="H6" s="11">
        <v>5935.36</v>
      </c>
      <c r="I6" s="11">
        <v>5935.36</v>
      </c>
      <c r="J6" s="11">
        <v>5935.36</v>
      </c>
      <c r="O6" s="11">
        <f t="shared" si="0"/>
        <v>47482.880000000005</v>
      </c>
    </row>
    <row r="7" spans="1:15" ht="12.75">
      <c r="A7" s="11" t="s">
        <v>491</v>
      </c>
      <c r="B7" s="11">
        <v>0.44</v>
      </c>
      <c r="C7" s="11">
        <f>B7*B1</f>
        <v>1632.224</v>
      </c>
      <c r="D7" s="11">
        <f>B7*B1</f>
        <v>1632.224</v>
      </c>
      <c r="E7" s="11">
        <f>B7*B1</f>
        <v>1632.224</v>
      </c>
      <c r="F7" s="11">
        <f>B7*B1</f>
        <v>1632.224</v>
      </c>
      <c r="G7" s="11">
        <f>B7*B1</f>
        <v>1632.224</v>
      </c>
      <c r="H7" s="11">
        <v>1632.22</v>
      </c>
      <c r="I7" s="11">
        <v>1632.22</v>
      </c>
      <c r="J7" s="11">
        <v>1632.22</v>
      </c>
      <c r="O7" s="11">
        <f t="shared" si="0"/>
        <v>13057.779999999999</v>
      </c>
    </row>
    <row r="8" spans="1:15" ht="12.75">
      <c r="A8" s="11" t="s">
        <v>435</v>
      </c>
      <c r="B8" s="11">
        <v>0.66</v>
      </c>
      <c r="C8" s="11">
        <f>B8*B1</f>
        <v>2448.3360000000002</v>
      </c>
      <c r="D8" s="11">
        <f>B8*B1</f>
        <v>2448.3360000000002</v>
      </c>
      <c r="E8" s="11">
        <f>B8*B1</f>
        <v>2448.3360000000002</v>
      </c>
      <c r="F8" s="11">
        <f>B8*B1</f>
        <v>2448.3360000000002</v>
      </c>
      <c r="G8" s="11">
        <f>B8*B1</f>
        <v>2448.3360000000002</v>
      </c>
      <c r="H8" s="11">
        <v>2448.34</v>
      </c>
      <c r="I8" s="11">
        <v>2448.34</v>
      </c>
      <c r="J8" s="11">
        <v>2448.34</v>
      </c>
      <c r="O8" s="11">
        <f t="shared" si="0"/>
        <v>19586.7</v>
      </c>
    </row>
    <row r="9" spans="1:15" ht="14.25" customHeight="1">
      <c r="A9" s="13" t="s">
        <v>253</v>
      </c>
      <c r="C9" s="11">
        <v>6781</v>
      </c>
      <c r="D9" s="11">
        <v>6781</v>
      </c>
      <c r="E9" s="11">
        <v>6781</v>
      </c>
      <c r="F9" s="11">
        <v>6781</v>
      </c>
      <c r="G9" s="11">
        <v>6781</v>
      </c>
      <c r="H9" s="11">
        <v>6781</v>
      </c>
      <c r="I9" s="11">
        <v>4075</v>
      </c>
      <c r="J9" s="11">
        <v>4075</v>
      </c>
      <c r="O9" s="11">
        <f t="shared" si="0"/>
        <v>48836</v>
      </c>
    </row>
    <row r="10" spans="1:15" ht="12.75">
      <c r="A10" s="13" t="s">
        <v>479</v>
      </c>
      <c r="C10" s="11">
        <v>4069</v>
      </c>
      <c r="D10" s="11">
        <v>4069</v>
      </c>
      <c r="E10" s="11">
        <v>4069</v>
      </c>
      <c r="F10" s="11">
        <v>4069</v>
      </c>
      <c r="G10" s="11">
        <v>4069</v>
      </c>
      <c r="H10" s="11">
        <v>4069</v>
      </c>
      <c r="I10" s="11">
        <v>4069</v>
      </c>
      <c r="J10" s="11">
        <v>2072</v>
      </c>
      <c r="O10" s="11">
        <f t="shared" si="0"/>
        <v>30555</v>
      </c>
    </row>
    <row r="11" spans="1:15" ht="12.75">
      <c r="A11" s="11" t="s">
        <v>429</v>
      </c>
      <c r="C11" s="11">
        <v>170.64</v>
      </c>
      <c r="D11" s="11">
        <v>170.64</v>
      </c>
      <c r="E11" s="11">
        <v>170.64</v>
      </c>
      <c r="F11" s="11">
        <v>170.64</v>
      </c>
      <c r="G11" s="11">
        <v>170.64</v>
      </c>
      <c r="H11" s="11">
        <v>118.71</v>
      </c>
      <c r="I11" s="11">
        <v>537.89</v>
      </c>
      <c r="J11" s="11">
        <v>537.89</v>
      </c>
      <c r="O11" s="11">
        <f t="shared" si="0"/>
        <v>2047.69</v>
      </c>
    </row>
    <row r="12" spans="1:15" ht="12.75">
      <c r="A12" s="11" t="s">
        <v>263</v>
      </c>
      <c r="C12" s="11">
        <v>500</v>
      </c>
      <c r="D12" s="11">
        <v>500</v>
      </c>
      <c r="E12" s="11">
        <v>500</v>
      </c>
      <c r="F12" s="11">
        <v>500</v>
      </c>
      <c r="G12" s="11">
        <v>0</v>
      </c>
      <c r="O12" s="11">
        <f t="shared" si="0"/>
        <v>2000</v>
      </c>
    </row>
    <row r="13" spans="1:15" ht="12.75">
      <c r="A13" s="13" t="s">
        <v>226</v>
      </c>
      <c r="O13" s="11">
        <f t="shared" si="0"/>
        <v>0</v>
      </c>
    </row>
    <row r="14" spans="1:15" ht="12.75">
      <c r="A14" s="13" t="s">
        <v>497</v>
      </c>
      <c r="I14" s="11">
        <f>16944+400</f>
        <v>17344</v>
      </c>
      <c r="O14" s="11">
        <f t="shared" si="0"/>
        <v>17344</v>
      </c>
    </row>
    <row r="15" spans="1:15" ht="12.75">
      <c r="A15" s="37" t="s">
        <v>541</v>
      </c>
      <c r="O15" s="11">
        <f t="shared" si="0"/>
        <v>0</v>
      </c>
    </row>
    <row r="16" spans="1:15" ht="25.5">
      <c r="A16" s="37" t="s">
        <v>133</v>
      </c>
      <c r="F16" s="11">
        <v>843.32</v>
      </c>
      <c r="O16" s="11">
        <f t="shared" si="0"/>
        <v>843.32</v>
      </c>
    </row>
    <row r="17" spans="1:15" ht="25.5">
      <c r="A17" s="37" t="s">
        <v>134</v>
      </c>
      <c r="F17" s="11">
        <v>3593.28</v>
      </c>
      <c r="O17" s="11">
        <f t="shared" si="0"/>
        <v>3593.28</v>
      </c>
    </row>
    <row r="18" spans="1:15" ht="12.75">
      <c r="A18" s="37" t="s">
        <v>773</v>
      </c>
      <c r="H18" s="11">
        <v>1776.64</v>
      </c>
      <c r="O18" s="11">
        <v>1776.64</v>
      </c>
    </row>
    <row r="19" spans="1:15" ht="12.75">
      <c r="A19" s="37" t="s">
        <v>406</v>
      </c>
      <c r="I19" s="11">
        <v>1612.21</v>
      </c>
      <c r="O19" s="11">
        <v>1612.21</v>
      </c>
    </row>
    <row r="20" spans="1:15" ht="12.75">
      <c r="A20" s="37" t="s">
        <v>250</v>
      </c>
      <c r="F20" s="11">
        <v>76</v>
      </c>
      <c r="O20" s="11">
        <f t="shared" si="0"/>
        <v>76</v>
      </c>
    </row>
    <row r="21" spans="1:15" ht="51">
      <c r="A21" s="37" t="s">
        <v>135</v>
      </c>
      <c r="F21" s="11">
        <v>2568.54</v>
      </c>
      <c r="O21" s="11">
        <f t="shared" si="0"/>
        <v>2568.54</v>
      </c>
    </row>
    <row r="22" spans="1:15" ht="25.5">
      <c r="A22" s="37" t="s">
        <v>136</v>
      </c>
      <c r="F22" s="11">
        <v>217.08</v>
      </c>
      <c r="O22" s="11">
        <f t="shared" si="0"/>
        <v>217.08</v>
      </c>
    </row>
    <row r="23" spans="1:15" ht="12.75">
      <c r="A23" s="37" t="s">
        <v>137</v>
      </c>
      <c r="E23" s="11">
        <v>855.32</v>
      </c>
      <c r="O23" s="11">
        <f t="shared" si="0"/>
        <v>855.32</v>
      </c>
    </row>
    <row r="24" spans="1:15" ht="38.25">
      <c r="A24" s="37" t="s">
        <v>138</v>
      </c>
      <c r="E24" s="11">
        <v>6418.28</v>
      </c>
      <c r="O24" s="11">
        <f t="shared" si="0"/>
        <v>6418.28</v>
      </c>
    </row>
    <row r="25" spans="1:15" ht="25.5">
      <c r="A25" s="37" t="s">
        <v>139</v>
      </c>
      <c r="E25" s="11">
        <v>2070.8</v>
      </c>
      <c r="O25" s="11">
        <f t="shared" si="0"/>
        <v>2070.8</v>
      </c>
    </row>
    <row r="26" spans="1:15" ht="51">
      <c r="A26" s="37" t="s">
        <v>140</v>
      </c>
      <c r="E26" s="11">
        <v>3833.74</v>
      </c>
      <c r="O26" s="11">
        <f t="shared" si="0"/>
        <v>3833.74</v>
      </c>
    </row>
    <row r="27" spans="1:15" ht="12.75">
      <c r="A27" s="37" t="s">
        <v>141</v>
      </c>
      <c r="E27" s="11">
        <v>2484.96</v>
      </c>
      <c r="O27" s="11">
        <f t="shared" si="0"/>
        <v>2484.96</v>
      </c>
    </row>
    <row r="28" spans="1:15" ht="12.75">
      <c r="A28" s="37" t="s">
        <v>142</v>
      </c>
      <c r="E28" s="11">
        <v>828.32</v>
      </c>
      <c r="O28" s="11">
        <f t="shared" si="0"/>
        <v>828.32</v>
      </c>
    </row>
    <row r="29" spans="1:15" ht="12.75">
      <c r="A29" s="37" t="s">
        <v>143</v>
      </c>
      <c r="E29" s="11">
        <v>1656.64</v>
      </c>
      <c r="O29" s="11">
        <f t="shared" si="0"/>
        <v>1656.64</v>
      </c>
    </row>
    <row r="30" spans="1:15" ht="25.5">
      <c r="A30" s="13" t="s">
        <v>490</v>
      </c>
      <c r="O30" s="11">
        <f t="shared" si="0"/>
        <v>0</v>
      </c>
    </row>
    <row r="31" spans="1:15" ht="12.75">
      <c r="A31" s="13" t="s">
        <v>492</v>
      </c>
      <c r="O31" s="11">
        <f t="shared" si="0"/>
        <v>0</v>
      </c>
    </row>
    <row r="32" spans="1:15" ht="12.75">
      <c r="A32" s="13" t="s">
        <v>494</v>
      </c>
      <c r="O32" s="11">
        <f t="shared" si="0"/>
        <v>0</v>
      </c>
    </row>
    <row r="33" spans="1:15" ht="12.75">
      <c r="A33" s="13" t="s">
        <v>493</v>
      </c>
      <c r="O33" s="11">
        <f t="shared" si="0"/>
        <v>0</v>
      </c>
    </row>
    <row r="34" spans="1:15" ht="38.25">
      <c r="A34" s="37" t="s">
        <v>144</v>
      </c>
      <c r="E34" s="11">
        <v>1863.72</v>
      </c>
      <c r="O34" s="11">
        <f t="shared" si="0"/>
        <v>1863.72</v>
      </c>
    </row>
    <row r="35" spans="1:15" ht="12.75">
      <c r="A35" s="37" t="s">
        <v>145</v>
      </c>
      <c r="E35" s="11">
        <v>414.16</v>
      </c>
      <c r="O35" s="11">
        <f t="shared" si="0"/>
        <v>414.16</v>
      </c>
    </row>
    <row r="36" spans="1:15" ht="12.75">
      <c r="A36" s="37" t="s">
        <v>146</v>
      </c>
      <c r="D36" s="11">
        <v>1308.32</v>
      </c>
      <c r="O36" s="11">
        <f t="shared" si="0"/>
        <v>1308.32</v>
      </c>
    </row>
    <row r="37" spans="1:15" ht="25.5">
      <c r="A37" s="37" t="s">
        <v>147</v>
      </c>
      <c r="D37" s="11">
        <v>1656.64</v>
      </c>
      <c r="O37" s="11">
        <f t="shared" si="0"/>
        <v>1656.64</v>
      </c>
    </row>
    <row r="38" spans="1:15" ht="12.75">
      <c r="A38" s="37" t="s">
        <v>148</v>
      </c>
      <c r="D38" s="11">
        <v>563.66</v>
      </c>
      <c r="O38" s="11">
        <f t="shared" si="0"/>
        <v>563.66</v>
      </c>
    </row>
    <row r="39" spans="1:15" ht="12.75">
      <c r="A39" s="37" t="s">
        <v>149</v>
      </c>
      <c r="D39" s="11">
        <v>103.54</v>
      </c>
      <c r="O39" s="11">
        <f t="shared" si="0"/>
        <v>103.54</v>
      </c>
    </row>
    <row r="40" spans="1:15" ht="25.5">
      <c r="A40" s="37" t="s">
        <v>150</v>
      </c>
      <c r="D40" s="11">
        <v>414.16</v>
      </c>
      <c r="O40" s="11">
        <f t="shared" si="0"/>
        <v>414.16</v>
      </c>
    </row>
    <row r="41" spans="1:15" ht="25.5">
      <c r="A41" s="37" t="s">
        <v>151</v>
      </c>
      <c r="D41" s="11">
        <v>5397.44</v>
      </c>
      <c r="O41" s="11">
        <f t="shared" si="0"/>
        <v>5397.44</v>
      </c>
    </row>
    <row r="42" spans="1:15" ht="25.5">
      <c r="A42" s="37" t="s">
        <v>152</v>
      </c>
      <c r="D42" s="11">
        <v>2616.64</v>
      </c>
      <c r="O42" s="11">
        <f t="shared" si="0"/>
        <v>2616.64</v>
      </c>
    </row>
    <row r="43" spans="1:15" ht="25.5">
      <c r="A43" s="37" t="s">
        <v>153</v>
      </c>
      <c r="D43" s="11">
        <v>828.32</v>
      </c>
      <c r="O43" s="11">
        <f t="shared" si="0"/>
        <v>828.32</v>
      </c>
    </row>
    <row r="44" spans="1:15" ht="25.5">
      <c r="A44" s="37" t="s">
        <v>788</v>
      </c>
      <c r="H44" s="11">
        <v>1018.32</v>
      </c>
      <c r="O44" s="11">
        <v>1018.32</v>
      </c>
    </row>
    <row r="45" spans="1:15" ht="25.5">
      <c r="A45" s="37" t="s">
        <v>154</v>
      </c>
      <c r="C45" s="11">
        <v>5507.78</v>
      </c>
      <c r="O45" s="11">
        <f t="shared" si="0"/>
        <v>5507.78</v>
      </c>
    </row>
    <row r="46" spans="1:15" ht="12.75">
      <c r="A46" s="37" t="s">
        <v>155</v>
      </c>
      <c r="C46" s="11">
        <v>414.16</v>
      </c>
      <c r="O46" s="11">
        <f t="shared" si="0"/>
        <v>414.16</v>
      </c>
    </row>
    <row r="47" spans="1:15" ht="12.75">
      <c r="A47" s="37" t="s">
        <v>156</v>
      </c>
      <c r="C47" s="11">
        <v>1721.64</v>
      </c>
      <c r="O47" s="11">
        <f t="shared" si="0"/>
        <v>1721.64</v>
      </c>
    </row>
    <row r="48" spans="1:15" ht="25.5">
      <c r="A48" s="37" t="s">
        <v>157</v>
      </c>
      <c r="C48" s="11">
        <v>497.08</v>
      </c>
      <c r="O48" s="11">
        <f t="shared" si="0"/>
        <v>497.08</v>
      </c>
    </row>
    <row r="49" spans="1:15" ht="25.5">
      <c r="A49" s="37" t="s">
        <v>158</v>
      </c>
      <c r="C49" s="11">
        <v>1640.32</v>
      </c>
      <c r="O49" s="11">
        <f t="shared" si="0"/>
        <v>1640.32</v>
      </c>
    </row>
    <row r="50" spans="1:15" ht="12.75">
      <c r="A50" s="37" t="s">
        <v>159</v>
      </c>
      <c r="C50" s="11">
        <v>1056.82</v>
      </c>
      <c r="O50" s="11">
        <f t="shared" si="0"/>
        <v>1056.82</v>
      </c>
    </row>
    <row r="51" spans="1:15" ht="25.5">
      <c r="A51" s="37" t="s">
        <v>160</v>
      </c>
      <c r="C51" s="11">
        <v>621.24</v>
      </c>
      <c r="O51" s="11">
        <f t="shared" si="0"/>
        <v>621.24</v>
      </c>
    </row>
    <row r="52" spans="1:15" ht="12.75">
      <c r="A52" s="37" t="s">
        <v>669</v>
      </c>
      <c r="D52" s="11">
        <v>6000</v>
      </c>
      <c r="O52" s="11">
        <f t="shared" si="0"/>
        <v>6000</v>
      </c>
    </row>
    <row r="53" spans="1:15" ht="12.75">
      <c r="A53" s="37" t="s">
        <v>161</v>
      </c>
      <c r="C53" s="11">
        <v>3596.64</v>
      </c>
      <c r="O53" s="11">
        <f t="shared" si="0"/>
        <v>3596.64</v>
      </c>
    </row>
    <row r="54" spans="1:15" ht="38.25">
      <c r="A54" s="37" t="s">
        <v>162</v>
      </c>
      <c r="C54" s="11">
        <v>129258</v>
      </c>
      <c r="O54" s="11">
        <f t="shared" si="0"/>
        <v>129258</v>
      </c>
    </row>
    <row r="55" spans="1:15" ht="12.75">
      <c r="A55" s="37" t="s">
        <v>673</v>
      </c>
      <c r="C55" s="11">
        <v>41800</v>
      </c>
      <c r="O55" s="11">
        <f t="shared" si="0"/>
        <v>41800</v>
      </c>
    </row>
    <row r="56" spans="1:15" ht="25.5">
      <c r="A56" s="37" t="s">
        <v>714</v>
      </c>
      <c r="F56" s="11">
        <v>611.16</v>
      </c>
      <c r="O56" s="11">
        <f>SUM(C56:N56)</f>
        <v>611.16</v>
      </c>
    </row>
    <row r="57" spans="1:15" ht="25.5">
      <c r="A57" s="37" t="s">
        <v>113</v>
      </c>
      <c r="I57" s="11">
        <v>1656.64</v>
      </c>
      <c r="O57" s="11">
        <v>1656.64</v>
      </c>
    </row>
    <row r="58" spans="1:15" ht="25.5">
      <c r="A58" s="37" t="s">
        <v>717</v>
      </c>
      <c r="F58" s="11">
        <v>3228.32</v>
      </c>
      <c r="O58" s="11">
        <f>SUM(C58:N58)</f>
        <v>3228.32</v>
      </c>
    </row>
    <row r="59" spans="1:15" ht="25.5">
      <c r="A59" s="37" t="s">
        <v>702</v>
      </c>
      <c r="F59" s="11">
        <v>421.62</v>
      </c>
      <c r="O59" s="11">
        <v>421.62</v>
      </c>
    </row>
    <row r="60" spans="1:15" ht="12.75">
      <c r="A60" s="37" t="s">
        <v>700</v>
      </c>
      <c r="F60" s="11">
        <v>828.32</v>
      </c>
      <c r="O60" s="11">
        <f>SUM(C60:N60)</f>
        <v>828.32</v>
      </c>
    </row>
    <row r="61" spans="1:15" ht="12.75">
      <c r="A61" s="37" t="s">
        <v>664</v>
      </c>
      <c r="J61" s="11">
        <v>15566.64</v>
      </c>
      <c r="O61" s="11">
        <v>15566.64</v>
      </c>
    </row>
    <row r="62" spans="1:15" ht="12.75">
      <c r="A62" s="37" t="s">
        <v>14</v>
      </c>
      <c r="J62" s="11">
        <v>103.54</v>
      </c>
      <c r="O62" s="11">
        <v>103.54</v>
      </c>
    </row>
    <row r="63" spans="1:15" ht="25.5">
      <c r="A63" s="37" t="s">
        <v>18</v>
      </c>
      <c r="J63" s="11">
        <v>3068.54</v>
      </c>
      <c r="O63" s="11">
        <v>3068.54</v>
      </c>
    </row>
    <row r="64" spans="1:15" ht="12.75">
      <c r="A64" s="37" t="s">
        <v>666</v>
      </c>
      <c r="F64" s="11">
        <v>560</v>
      </c>
      <c r="O64" s="11">
        <f t="shared" si="0"/>
        <v>560</v>
      </c>
    </row>
    <row r="65" spans="1:15" ht="25.5">
      <c r="A65" s="37" t="s">
        <v>660</v>
      </c>
      <c r="G65" s="11">
        <v>414.16</v>
      </c>
      <c r="O65" s="11">
        <f t="shared" si="0"/>
        <v>414.16</v>
      </c>
    </row>
    <row r="66" spans="1:15" ht="12.75">
      <c r="A66" s="37" t="s">
        <v>0</v>
      </c>
      <c r="H66" s="11">
        <v>1500</v>
      </c>
      <c r="O66" s="11">
        <v>1500</v>
      </c>
    </row>
    <row r="67" spans="1:15" ht="12.75">
      <c r="A67" s="11" t="s">
        <v>415</v>
      </c>
      <c r="C67" s="11">
        <f>SUM(C4:C65)</f>
        <v>219409.672</v>
      </c>
      <c r="D67" s="11">
        <f>SUM(D4:D65)</f>
        <v>52184.71200000001</v>
      </c>
      <c r="E67" s="11">
        <f aca="true" t="shared" si="1" ref="E67:N67">SUM(E4:E65)</f>
        <v>53721.932</v>
      </c>
      <c r="F67" s="11">
        <f t="shared" si="1"/>
        <v>46243.632000000005</v>
      </c>
      <c r="G67" s="11">
        <f t="shared" si="1"/>
        <v>33210.152</v>
      </c>
      <c r="H67" s="11">
        <f t="shared" si="1"/>
        <v>35539.020000000004</v>
      </c>
      <c r="I67" s="11">
        <f t="shared" si="1"/>
        <v>51070.090000000004</v>
      </c>
      <c r="J67" s="11">
        <f t="shared" si="1"/>
        <v>47198.96000000001</v>
      </c>
      <c r="K67" s="11">
        <f t="shared" si="1"/>
        <v>0</v>
      </c>
      <c r="L67" s="11">
        <f t="shared" si="1"/>
        <v>0</v>
      </c>
      <c r="M67" s="11">
        <f t="shared" si="1"/>
        <v>0</v>
      </c>
      <c r="N67" s="11">
        <f t="shared" si="1"/>
        <v>0</v>
      </c>
      <c r="O67" s="11">
        <f>SUM(O4:O65)</f>
        <v>538578.1700000002</v>
      </c>
    </row>
    <row r="68" spans="1:15" ht="12.75">
      <c r="A68" s="11" t="s">
        <v>419</v>
      </c>
      <c r="C68" s="11">
        <v>46168.45</v>
      </c>
      <c r="D68" s="11">
        <v>47327.95</v>
      </c>
      <c r="E68" s="11">
        <v>48093.55</v>
      </c>
      <c r="F68" s="11">
        <v>49292.13</v>
      </c>
      <c r="G68" s="11">
        <v>42614.11</v>
      </c>
      <c r="H68" s="11">
        <v>52024.78</v>
      </c>
      <c r="I68" s="11">
        <v>56005.9</v>
      </c>
      <c r="J68" s="11">
        <v>46284.91</v>
      </c>
      <c r="O68" s="11">
        <f>SUM(C68:N68)</f>
        <v>387811.78</v>
      </c>
    </row>
    <row r="69" spans="1:15" ht="12.75">
      <c r="A69" s="14" t="s">
        <v>403</v>
      </c>
      <c r="E69" s="11">
        <v>5944.38</v>
      </c>
      <c r="F69" s="11">
        <v>46250.72</v>
      </c>
      <c r="G69" s="11">
        <f>7785.75+991.84</f>
        <v>8777.59</v>
      </c>
      <c r="H69" s="11">
        <v>8727.68</v>
      </c>
      <c r="I69" s="11">
        <v>1736.56</v>
      </c>
      <c r="J69" s="11">
        <v>15719.2</v>
      </c>
      <c r="O69" s="11">
        <f>SUM(C69:N69)</f>
        <v>87156.12999999999</v>
      </c>
    </row>
    <row r="70" s="12" customFormat="1" ht="12.75">
      <c r="O70" s="12">
        <f>O68+O69+O72+F71-O67+O1</f>
        <v>-60194.220000000125</v>
      </c>
    </row>
    <row r="71" spans="1:15" s="12" customFormat="1" ht="12.75">
      <c r="A71" s="12" t="s">
        <v>603</v>
      </c>
      <c r="F71" s="12">
        <v>378</v>
      </c>
      <c r="H71" s="12">
        <v>400</v>
      </c>
      <c r="J71" s="12">
        <v>240</v>
      </c>
      <c r="O71" s="12">
        <f>SUM(F71:N71)</f>
        <v>1018</v>
      </c>
    </row>
    <row r="72" spans="1:15" ht="12.75">
      <c r="A72" s="14" t="s">
        <v>527</v>
      </c>
      <c r="F72" s="11">
        <v>3675</v>
      </c>
      <c r="G72" s="11">
        <v>1513.5</v>
      </c>
      <c r="H72" s="11">
        <v>600</v>
      </c>
      <c r="J72" s="11">
        <v>140</v>
      </c>
      <c r="O72" s="11">
        <f>SUM(F72:N72)</f>
        <v>5928.5</v>
      </c>
    </row>
    <row r="73" spans="2:6" ht="12.75">
      <c r="B73" s="76" t="s">
        <v>481</v>
      </c>
      <c r="C73" s="77"/>
      <c r="D73" s="77"/>
      <c r="E73" s="77"/>
      <c r="F73" s="78"/>
    </row>
    <row r="76" ht="12.75">
      <c r="G76" s="11" t="s">
        <v>428</v>
      </c>
    </row>
  </sheetData>
  <sheetProtection/>
  <mergeCells count="1">
    <mergeCell ref="B73:F73"/>
  </mergeCells>
  <printOptions/>
  <pageMargins left="0.7" right="0.7" top="0.75" bottom="0.75" header="0.3" footer="0.3"/>
  <pageSetup orientation="landscape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pane xSplit="4" ySplit="16" topLeftCell="E28" activePane="bottomRight" state="frozen"/>
      <selection pane="topLeft" activeCell="A1" sqref="A1"/>
      <selection pane="topRight" activeCell="E1" sqref="E1"/>
      <selection pane="bottomLeft" activeCell="A17" sqref="A17"/>
      <selection pane="bottomRight" activeCell="P29" sqref="P29"/>
    </sheetView>
  </sheetViews>
  <sheetFormatPr defaultColWidth="9.00390625" defaultRowHeight="12.75"/>
  <cols>
    <col min="1" max="1" width="38.25390625" style="14" customWidth="1"/>
    <col min="2" max="2" width="10.00390625" style="14" customWidth="1"/>
    <col min="3" max="3" width="9.00390625" style="14" customWidth="1"/>
    <col min="4" max="4" width="8.75390625" style="14" customWidth="1"/>
    <col min="5" max="5" width="8.625" style="14" customWidth="1"/>
    <col min="6" max="6" width="7.25390625" style="14" customWidth="1"/>
    <col min="7" max="7" width="8.375" style="14" customWidth="1"/>
    <col min="8" max="8" width="9.125" style="14" customWidth="1"/>
    <col min="9" max="9" width="7.25390625" style="14" customWidth="1"/>
    <col min="10" max="16384" width="9.125" style="14" customWidth="1"/>
  </cols>
  <sheetData>
    <row r="1" spans="1:16" s="12" customFormat="1" ht="12.75">
      <c r="A1" s="2" t="s">
        <v>422</v>
      </c>
      <c r="B1" s="2">
        <v>1492.1</v>
      </c>
      <c r="C1" s="2"/>
      <c r="D1" s="2"/>
      <c r="E1" s="2"/>
      <c r="F1" s="2"/>
      <c r="G1" s="2"/>
      <c r="H1" s="2"/>
      <c r="I1" s="2"/>
      <c r="J1" s="2"/>
      <c r="K1" s="2" t="s">
        <v>525</v>
      </c>
      <c r="L1" s="2"/>
      <c r="M1" s="2"/>
      <c r="N1" s="2"/>
      <c r="O1" s="2"/>
      <c r="P1" s="2">
        <v>-36030.61</v>
      </c>
    </row>
    <row r="2" spans="1:16" ht="12.75">
      <c r="A2" s="1" t="s">
        <v>421</v>
      </c>
      <c r="B2" s="1">
        <f>PRODUCT(B1,10.65)</f>
        <v>15890.865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2" customFormat="1" ht="12.75">
      <c r="A3" s="2" t="s">
        <v>409</v>
      </c>
      <c r="B3" s="2" t="s">
        <v>410</v>
      </c>
      <c r="C3" s="2" t="s">
        <v>434</v>
      </c>
      <c r="D3" s="2" t="s">
        <v>438</v>
      </c>
      <c r="E3" s="2" t="s">
        <v>437</v>
      </c>
      <c r="F3" s="2" t="s">
        <v>436</v>
      </c>
      <c r="G3" s="2" t="s">
        <v>413</v>
      </c>
      <c r="H3" s="2" t="s">
        <v>414</v>
      </c>
      <c r="I3" s="2" t="s">
        <v>416</v>
      </c>
      <c r="J3" s="2" t="s">
        <v>417</v>
      </c>
      <c r="K3" s="2" t="s">
        <v>423</v>
      </c>
      <c r="L3" s="2" t="s">
        <v>424</v>
      </c>
      <c r="M3" s="2" t="s">
        <v>425</v>
      </c>
      <c r="N3" s="2" t="s">
        <v>426</v>
      </c>
      <c r="O3" s="2" t="s">
        <v>434</v>
      </c>
      <c r="P3" s="2" t="s">
        <v>427</v>
      </c>
    </row>
    <row r="4" spans="1:16" ht="12.75">
      <c r="A4" s="1" t="s">
        <v>411</v>
      </c>
      <c r="B4" s="1">
        <v>1.57</v>
      </c>
      <c r="C4" s="1">
        <f>B4*B1</f>
        <v>2342.5969999999998</v>
      </c>
      <c r="D4" s="1">
        <f>B4*B1</f>
        <v>2342.5969999999998</v>
      </c>
      <c r="E4" s="1">
        <f>B4*B1</f>
        <v>2342.5969999999998</v>
      </c>
      <c r="F4" s="1">
        <f>B4*B1</f>
        <v>2342.5969999999998</v>
      </c>
      <c r="G4" s="1">
        <f>B4*B1</f>
        <v>2342.5969999999998</v>
      </c>
      <c r="H4" s="1">
        <v>2342.6</v>
      </c>
      <c r="I4" s="1">
        <v>2342.6</v>
      </c>
      <c r="J4" s="1">
        <v>2342.6</v>
      </c>
      <c r="K4" s="1"/>
      <c r="L4" s="1"/>
      <c r="M4" s="1"/>
      <c r="N4" s="1"/>
      <c r="O4" s="1"/>
      <c r="P4" s="1">
        <f aca="true" t="shared" si="0" ref="P4:P32">SUM(C4:O4)</f>
        <v>18740.784999999996</v>
      </c>
    </row>
    <row r="5" spans="1:16" ht="12.75">
      <c r="A5" s="1" t="s">
        <v>451</v>
      </c>
      <c r="B5" s="1">
        <v>1.6</v>
      </c>
      <c r="C5" s="1">
        <f>B5*B1</f>
        <v>2387.36</v>
      </c>
      <c r="D5" s="1">
        <f>B5*B1</f>
        <v>2387.36</v>
      </c>
      <c r="E5" s="1">
        <f>B5*B1</f>
        <v>2387.36</v>
      </c>
      <c r="F5" s="1">
        <f>B5*B1</f>
        <v>2387.36</v>
      </c>
      <c r="G5" s="1">
        <f>B5*B1</f>
        <v>2387.36</v>
      </c>
      <c r="H5" s="1">
        <v>2387.36</v>
      </c>
      <c r="I5" s="1">
        <v>2387.36</v>
      </c>
      <c r="J5" s="1">
        <v>2387.36</v>
      </c>
      <c r="K5" s="1"/>
      <c r="L5" s="1"/>
      <c r="M5" s="1"/>
      <c r="N5" s="1"/>
      <c r="O5" s="1"/>
      <c r="P5" s="1">
        <f t="shared" si="0"/>
        <v>19098.88</v>
      </c>
    </row>
    <row r="6" spans="1:16" ht="12.75">
      <c r="A6" s="1" t="s">
        <v>412</v>
      </c>
      <c r="B6" s="1">
        <v>1.6</v>
      </c>
      <c r="C6" s="1">
        <f>B6*B1</f>
        <v>2387.36</v>
      </c>
      <c r="D6" s="1">
        <f>B6*B1</f>
        <v>2387.36</v>
      </c>
      <c r="E6" s="1">
        <f>B6*B1</f>
        <v>2387.36</v>
      </c>
      <c r="F6" s="1">
        <f>B6*B1</f>
        <v>2387.36</v>
      </c>
      <c r="G6" s="1">
        <f>B6*B1</f>
        <v>2387.36</v>
      </c>
      <c r="H6" s="1">
        <v>2387.36</v>
      </c>
      <c r="I6" s="1">
        <v>2387.36</v>
      </c>
      <c r="J6" s="1">
        <v>2387.36</v>
      </c>
      <c r="K6" s="1"/>
      <c r="L6" s="1"/>
      <c r="M6" s="1"/>
      <c r="N6" s="1"/>
      <c r="O6" s="1"/>
      <c r="P6" s="1">
        <f t="shared" si="0"/>
        <v>19098.88</v>
      </c>
    </row>
    <row r="7" spans="1:16" ht="12.75">
      <c r="A7" s="1" t="s">
        <v>491</v>
      </c>
      <c r="B7" s="1">
        <v>0.44</v>
      </c>
      <c r="C7" s="1">
        <f>B7*B1</f>
        <v>656.524</v>
      </c>
      <c r="D7" s="1">
        <f>B7*B1</f>
        <v>656.524</v>
      </c>
      <c r="E7" s="1">
        <f>B7*B1</f>
        <v>656.524</v>
      </c>
      <c r="F7" s="1">
        <f>B7*B1</f>
        <v>656.524</v>
      </c>
      <c r="G7" s="1">
        <f>B7*B1</f>
        <v>656.524</v>
      </c>
      <c r="H7" s="1">
        <v>656.52</v>
      </c>
      <c r="I7" s="1">
        <v>656.52</v>
      </c>
      <c r="J7" s="1">
        <v>656.52</v>
      </c>
      <c r="K7" s="1"/>
      <c r="L7" s="1"/>
      <c r="M7" s="1"/>
      <c r="N7" s="1"/>
      <c r="O7" s="1"/>
      <c r="P7" s="1">
        <f t="shared" si="0"/>
        <v>5252.18</v>
      </c>
    </row>
    <row r="8" spans="1:16" ht="12.75">
      <c r="A8" s="1" t="s">
        <v>435</v>
      </c>
      <c r="B8" s="1">
        <v>0.66</v>
      </c>
      <c r="C8" s="1">
        <f>B8*B1</f>
        <v>984.786</v>
      </c>
      <c r="D8" s="1">
        <f>B8*B1</f>
        <v>984.786</v>
      </c>
      <c r="E8" s="1">
        <f>B8*B1</f>
        <v>984.786</v>
      </c>
      <c r="F8" s="1">
        <f>B8*B1</f>
        <v>984.786</v>
      </c>
      <c r="G8" s="1">
        <f>B8*B1</f>
        <v>984.786</v>
      </c>
      <c r="H8" s="1">
        <v>984.79</v>
      </c>
      <c r="I8" s="1">
        <v>984.79</v>
      </c>
      <c r="J8" s="1">
        <v>984.79</v>
      </c>
      <c r="K8" s="1"/>
      <c r="L8" s="1"/>
      <c r="M8" s="1"/>
      <c r="N8" s="1"/>
      <c r="O8" s="1"/>
      <c r="P8" s="1">
        <f t="shared" si="0"/>
        <v>7878.299999999999</v>
      </c>
    </row>
    <row r="9" spans="1:16" ht="12.75">
      <c r="A9" s="3" t="s">
        <v>253</v>
      </c>
      <c r="B9" s="1"/>
      <c r="C9" s="1">
        <v>1356</v>
      </c>
      <c r="D9" s="1">
        <v>1356</v>
      </c>
      <c r="E9" s="1">
        <v>1356</v>
      </c>
      <c r="F9" s="1">
        <v>1356</v>
      </c>
      <c r="G9" s="1"/>
      <c r="H9" s="1">
        <v>1356</v>
      </c>
      <c r="I9" s="1">
        <v>1356</v>
      </c>
      <c r="J9" s="1">
        <v>1356</v>
      </c>
      <c r="K9" s="1"/>
      <c r="L9" s="1"/>
      <c r="M9" s="1"/>
      <c r="N9" s="1"/>
      <c r="O9" s="1"/>
      <c r="P9" s="1">
        <f t="shared" si="0"/>
        <v>9492</v>
      </c>
    </row>
    <row r="10" spans="1:16" ht="12.75">
      <c r="A10" s="1" t="s">
        <v>265</v>
      </c>
      <c r="B10" s="1"/>
      <c r="C10" s="1">
        <v>1356</v>
      </c>
      <c r="D10" s="1">
        <v>1356</v>
      </c>
      <c r="E10" s="1">
        <v>1356</v>
      </c>
      <c r="F10" s="1">
        <v>1356</v>
      </c>
      <c r="G10" s="1">
        <v>1356</v>
      </c>
      <c r="H10" s="1">
        <v>1356</v>
      </c>
      <c r="I10" s="1">
        <v>1356</v>
      </c>
      <c r="J10" s="1">
        <v>1356</v>
      </c>
      <c r="K10" s="1"/>
      <c r="L10" s="1"/>
      <c r="M10" s="1"/>
      <c r="N10" s="1"/>
      <c r="O10" s="1"/>
      <c r="P10" s="1">
        <f t="shared" si="0"/>
        <v>10848</v>
      </c>
    </row>
    <row r="11" spans="1:16" ht="12.75">
      <c r="A11" s="1" t="s">
        <v>263</v>
      </c>
      <c r="B11" s="1"/>
      <c r="C11" s="1">
        <v>500</v>
      </c>
      <c r="D11" s="1">
        <v>500</v>
      </c>
      <c r="E11" s="1">
        <v>500</v>
      </c>
      <c r="F11" s="1">
        <v>500</v>
      </c>
      <c r="G11" s="1">
        <v>0</v>
      </c>
      <c r="H11" s="1"/>
      <c r="I11" s="1"/>
      <c r="J11" s="1"/>
      <c r="K11" s="1"/>
      <c r="L11" s="1"/>
      <c r="M11" s="1"/>
      <c r="N11" s="1"/>
      <c r="O11" s="1"/>
      <c r="P11" s="1">
        <f t="shared" si="0"/>
        <v>2000</v>
      </c>
    </row>
    <row r="12" spans="1:16" ht="12.75">
      <c r="A12" s="3" t="s">
        <v>429</v>
      </c>
      <c r="B12" s="1"/>
      <c r="C12" s="1">
        <v>68.64</v>
      </c>
      <c r="D12" s="1">
        <v>68.64</v>
      </c>
      <c r="E12" s="1">
        <v>68.64</v>
      </c>
      <c r="F12" s="1">
        <v>68.64</v>
      </c>
      <c r="G12" s="1">
        <v>68.64</v>
      </c>
      <c r="H12" s="1">
        <v>47.75</v>
      </c>
      <c r="I12" s="1">
        <v>216.35</v>
      </c>
      <c r="J12" s="1">
        <v>216.35</v>
      </c>
      <c r="K12" s="1"/>
      <c r="L12" s="1"/>
      <c r="M12" s="1"/>
      <c r="N12" s="1"/>
      <c r="O12" s="1"/>
      <c r="P12" s="1">
        <f t="shared" si="0"/>
        <v>823.65</v>
      </c>
    </row>
    <row r="13" spans="1:16" ht="12.75">
      <c r="A13" s="1" t="s">
        <v>524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 t="shared" si="0"/>
        <v>0</v>
      </c>
    </row>
    <row r="14" spans="1:16" ht="12.75">
      <c r="A14" s="3" t="s">
        <v>490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si="0"/>
        <v>0</v>
      </c>
    </row>
    <row r="15" spans="1:16" ht="12.75">
      <c r="A15" s="3" t="s">
        <v>226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f t="shared" si="0"/>
        <v>0</v>
      </c>
    </row>
    <row r="16" spans="1:16" ht="12.75">
      <c r="A16" s="3" t="s">
        <v>492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f t="shared" si="0"/>
        <v>0</v>
      </c>
    </row>
    <row r="17" spans="1:16" ht="12.75">
      <c r="A17" s="3" t="s">
        <v>510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si="0"/>
        <v>0</v>
      </c>
    </row>
    <row r="18" spans="1:16" ht="12.75">
      <c r="A18" s="3" t="s">
        <v>511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f t="shared" si="0"/>
        <v>0</v>
      </c>
    </row>
    <row r="19" spans="1:16" ht="12.75">
      <c r="A19" s="3" t="s">
        <v>37</v>
      </c>
      <c r="B19" s="1"/>
      <c r="C19" s="1"/>
      <c r="D19" s="1"/>
      <c r="E19" s="1"/>
      <c r="F19" s="1"/>
      <c r="G19" s="1"/>
      <c r="H19" s="1"/>
      <c r="I19" s="1"/>
      <c r="J19" s="1">
        <v>3255.62</v>
      </c>
      <c r="K19" s="1"/>
      <c r="L19" s="1"/>
      <c r="M19" s="1"/>
      <c r="N19" s="1"/>
      <c r="O19" s="1"/>
      <c r="P19" s="1">
        <v>3255.62</v>
      </c>
    </row>
    <row r="20" spans="1:16" ht="22.5">
      <c r="A20" s="3" t="s">
        <v>776</v>
      </c>
      <c r="B20" s="1"/>
      <c r="C20" s="1"/>
      <c r="D20" s="1"/>
      <c r="E20" s="1"/>
      <c r="F20" s="1"/>
      <c r="G20" s="1"/>
      <c r="H20" s="1">
        <v>7638</v>
      </c>
      <c r="I20" s="1"/>
      <c r="J20" s="1"/>
      <c r="K20" s="1"/>
      <c r="L20" s="1"/>
      <c r="M20" s="1"/>
      <c r="N20" s="1"/>
      <c r="O20" s="1"/>
      <c r="P20" s="1">
        <v>7638</v>
      </c>
    </row>
    <row r="21" spans="1:16" ht="22.5">
      <c r="A21" s="3" t="s">
        <v>13</v>
      </c>
      <c r="B21" s="1"/>
      <c r="C21" s="1"/>
      <c r="D21" s="1"/>
      <c r="E21" s="1"/>
      <c r="F21" s="1"/>
      <c r="G21" s="1"/>
      <c r="H21" s="1"/>
      <c r="I21" s="1"/>
      <c r="J21" s="1">
        <v>1449.56</v>
      </c>
      <c r="K21" s="1"/>
      <c r="L21" s="1"/>
      <c r="M21" s="1"/>
      <c r="N21" s="1"/>
      <c r="O21" s="1"/>
      <c r="P21" s="1">
        <v>1449.56</v>
      </c>
    </row>
    <row r="22" spans="1:16" ht="12.75">
      <c r="A22" s="3" t="s">
        <v>700</v>
      </c>
      <c r="B22" s="1"/>
      <c r="C22" s="1"/>
      <c r="D22" s="1"/>
      <c r="E22" s="1"/>
      <c r="F22" s="1">
        <v>207.08</v>
      </c>
      <c r="G22" s="1"/>
      <c r="H22" s="1"/>
      <c r="I22" s="1"/>
      <c r="J22" s="1"/>
      <c r="K22" s="1"/>
      <c r="L22" s="1"/>
      <c r="M22" s="1"/>
      <c r="N22" s="1"/>
      <c r="O22" s="1"/>
      <c r="P22" s="1">
        <v>207.08</v>
      </c>
    </row>
    <row r="23" spans="1:16" ht="12.75">
      <c r="A23" s="3" t="s">
        <v>648</v>
      </c>
      <c r="B23" s="1"/>
      <c r="C23" s="1"/>
      <c r="D23" s="1"/>
      <c r="E23" s="1"/>
      <c r="F23" s="1"/>
      <c r="G23" s="1">
        <v>836.32</v>
      </c>
      <c r="H23" s="1"/>
      <c r="I23" s="1"/>
      <c r="J23" s="1"/>
      <c r="K23" s="1"/>
      <c r="L23" s="1"/>
      <c r="M23" s="1"/>
      <c r="N23" s="1"/>
      <c r="O23" s="1"/>
      <c r="P23" s="1">
        <f>SUM(C23:O23)</f>
        <v>836.32</v>
      </c>
    </row>
    <row r="24" spans="1:16" ht="12.75">
      <c r="A24" s="3" t="s">
        <v>699</v>
      </c>
      <c r="B24" s="1"/>
      <c r="C24" s="1"/>
      <c r="D24" s="1"/>
      <c r="E24" s="1"/>
      <c r="F24" s="1">
        <v>207.08</v>
      </c>
      <c r="G24" s="1"/>
      <c r="H24" s="1"/>
      <c r="I24" s="1"/>
      <c r="J24" s="1"/>
      <c r="K24" s="1"/>
      <c r="L24" s="1"/>
      <c r="M24" s="1"/>
      <c r="N24" s="1"/>
      <c r="O24" s="1"/>
      <c r="P24" s="1">
        <v>207.08</v>
      </c>
    </row>
    <row r="25" spans="1:16" ht="12.75">
      <c r="A25" s="3" t="s">
        <v>163</v>
      </c>
      <c r="B25" s="1"/>
      <c r="C25" s="1"/>
      <c r="D25" s="1">
        <v>2484.16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>
        <f t="shared" si="0"/>
        <v>2484.16</v>
      </c>
    </row>
    <row r="26" spans="1:16" ht="12.75">
      <c r="A26" s="3" t="s">
        <v>664</v>
      </c>
      <c r="B26" s="1"/>
      <c r="C26" s="1"/>
      <c r="D26" s="1"/>
      <c r="E26" s="1"/>
      <c r="F26" s="1"/>
      <c r="G26" s="1">
        <v>2500</v>
      </c>
      <c r="H26" s="1"/>
      <c r="I26" s="1"/>
      <c r="J26" s="1"/>
      <c r="K26" s="1"/>
      <c r="L26" s="1"/>
      <c r="M26" s="1"/>
      <c r="N26" s="1"/>
      <c r="O26" s="1"/>
      <c r="P26" s="1">
        <f t="shared" si="0"/>
        <v>2500</v>
      </c>
    </row>
    <row r="27" spans="1:16" ht="33.75">
      <c r="A27" s="3" t="s">
        <v>164</v>
      </c>
      <c r="B27" s="1"/>
      <c r="C27" s="1"/>
      <c r="D27" s="1">
        <v>414.16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>
        <f t="shared" si="0"/>
        <v>414.16</v>
      </c>
    </row>
    <row r="28" spans="1:16" ht="12.75">
      <c r="A28" s="3" t="s">
        <v>165</v>
      </c>
      <c r="B28" s="1"/>
      <c r="C28" s="1"/>
      <c r="D28" s="1">
        <v>207.08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>
        <f t="shared" si="0"/>
        <v>207.08</v>
      </c>
    </row>
    <row r="29" spans="1:16" ht="12.75">
      <c r="A29" s="3" t="s">
        <v>102</v>
      </c>
      <c r="B29" s="1"/>
      <c r="C29" s="1"/>
      <c r="D29" s="1"/>
      <c r="E29" s="1"/>
      <c r="F29" s="1"/>
      <c r="G29" s="1"/>
      <c r="H29" s="1"/>
      <c r="I29" s="1">
        <v>828.32</v>
      </c>
      <c r="J29" s="1"/>
      <c r="K29" s="1"/>
      <c r="L29" s="1"/>
      <c r="M29" s="1"/>
      <c r="N29" s="1"/>
      <c r="O29" s="1"/>
      <c r="P29" s="1">
        <v>828.32</v>
      </c>
    </row>
    <row r="30" spans="1:16" ht="12.75">
      <c r="A30" s="3" t="s">
        <v>89</v>
      </c>
      <c r="B30" s="1"/>
      <c r="C30" s="1"/>
      <c r="D30" s="1"/>
      <c r="E30" s="1"/>
      <c r="F30" s="1"/>
      <c r="G30" s="1"/>
      <c r="H30" s="1"/>
      <c r="I30" s="1"/>
      <c r="J30" s="1">
        <v>15000</v>
      </c>
      <c r="K30" s="1"/>
      <c r="L30" s="1"/>
      <c r="M30" s="1"/>
      <c r="N30" s="1"/>
      <c r="O30" s="1"/>
      <c r="P30" s="1">
        <v>15000</v>
      </c>
    </row>
    <row r="31" spans="1:16" ht="12.75">
      <c r="A31" s="3" t="s">
        <v>166</v>
      </c>
      <c r="B31" s="1"/>
      <c r="C31" s="1"/>
      <c r="D31" s="1">
        <v>621.24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>
        <f t="shared" si="0"/>
        <v>621.24</v>
      </c>
    </row>
    <row r="32" spans="1:16" ht="12.75">
      <c r="A32" s="3" t="s">
        <v>528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>
        <f t="shared" si="0"/>
        <v>0</v>
      </c>
    </row>
    <row r="33" spans="1:16" ht="12.75">
      <c r="A33" s="1" t="s">
        <v>415</v>
      </c>
      <c r="B33" s="1"/>
      <c r="C33" s="1">
        <f aca="true" t="shared" si="1" ref="C33:P33">SUM(C4:C32)</f>
        <v>12039.267</v>
      </c>
      <c r="D33" s="1">
        <f t="shared" si="1"/>
        <v>15765.907</v>
      </c>
      <c r="E33" s="1">
        <f t="shared" si="1"/>
        <v>12039.267</v>
      </c>
      <c r="F33" s="1">
        <f t="shared" si="1"/>
        <v>12453.427</v>
      </c>
      <c r="G33" s="1">
        <f t="shared" si="1"/>
        <v>13519.587</v>
      </c>
      <c r="H33" s="1">
        <f t="shared" si="1"/>
        <v>19156.38</v>
      </c>
      <c r="I33" s="1">
        <f t="shared" si="1"/>
        <v>12515.300000000001</v>
      </c>
      <c r="J33" s="1">
        <f t="shared" si="1"/>
        <v>31392.160000000003</v>
      </c>
      <c r="K33" s="1">
        <f t="shared" si="1"/>
        <v>0</v>
      </c>
      <c r="L33" s="1">
        <f t="shared" si="1"/>
        <v>0</v>
      </c>
      <c r="M33" s="1">
        <f t="shared" si="1"/>
        <v>0</v>
      </c>
      <c r="N33" s="1">
        <f t="shared" si="1"/>
        <v>0</v>
      </c>
      <c r="O33" s="1">
        <f t="shared" si="1"/>
        <v>0</v>
      </c>
      <c r="P33" s="1">
        <f t="shared" si="1"/>
        <v>128881.29500000001</v>
      </c>
    </row>
    <row r="34" spans="1:16" ht="12.75">
      <c r="A34" s="1" t="s">
        <v>419</v>
      </c>
      <c r="B34" s="1"/>
      <c r="C34" s="1">
        <v>13075.5</v>
      </c>
      <c r="D34" s="1">
        <v>13829.42</v>
      </c>
      <c r="E34" s="1">
        <v>13707.22</v>
      </c>
      <c r="F34" s="1">
        <v>18392.42</v>
      </c>
      <c r="G34" s="1">
        <v>14021.51</v>
      </c>
      <c r="H34" s="1">
        <v>28301.85</v>
      </c>
      <c r="I34" s="1">
        <v>31066.56</v>
      </c>
      <c r="J34" s="1">
        <v>12415.03</v>
      </c>
      <c r="K34" s="1"/>
      <c r="L34" s="1"/>
      <c r="M34" s="1"/>
      <c r="N34" s="1"/>
      <c r="O34" s="1"/>
      <c r="P34" s="1">
        <f>SUM(C34:O34)</f>
        <v>144809.50999999998</v>
      </c>
    </row>
    <row r="35" spans="1:16" s="12" customFormat="1" ht="12.75">
      <c r="A35" s="2" t="s">
        <v>420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>
        <f>P34-P33+P1+P40+P41</f>
        <v>-13155.895000000033</v>
      </c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62" t="s">
        <v>481</v>
      </c>
      <c r="C37" s="63"/>
      <c r="D37" s="63"/>
      <c r="E37" s="63"/>
      <c r="F37" s="64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 t="s">
        <v>401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4" t="s">
        <v>603</v>
      </c>
      <c r="F40" s="14">
        <v>378</v>
      </c>
      <c r="H40" s="14">
        <v>400</v>
      </c>
      <c r="J40" s="14">
        <v>240</v>
      </c>
      <c r="P40" s="14">
        <f>SUM(F40:O40)</f>
        <v>1018</v>
      </c>
    </row>
    <row r="41" spans="1:16" ht="12.75">
      <c r="A41" s="14" t="s">
        <v>527</v>
      </c>
      <c r="F41" s="14">
        <v>3675</v>
      </c>
      <c r="G41" s="14">
        <v>1513.5</v>
      </c>
      <c r="H41" s="14">
        <v>600</v>
      </c>
      <c r="J41" s="14">
        <v>140</v>
      </c>
      <c r="P41" s="14">
        <f>SUM(F41:O41)</f>
        <v>5928.5</v>
      </c>
    </row>
  </sheetData>
  <sheetProtection/>
  <mergeCells count="1">
    <mergeCell ref="B37:F37"/>
  </mergeCells>
  <printOptions/>
  <pageMargins left="0.7" right="0.7" top="0.75" bottom="0.75" header="0.3" footer="0.3"/>
  <pageSetup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">
      <pane xSplit="5" ySplit="25" topLeftCell="F65" activePane="bottomRight" state="frozen"/>
      <selection pane="topLeft" activeCell="A1" sqref="A1"/>
      <selection pane="topRight" activeCell="F1" sqref="F1"/>
      <selection pane="bottomLeft" activeCell="A19" sqref="A19"/>
      <selection pane="bottomRight" activeCell="C6" sqref="C6"/>
    </sheetView>
  </sheetViews>
  <sheetFormatPr defaultColWidth="9.00390625" defaultRowHeight="12.75"/>
  <cols>
    <col min="1" max="1" width="34.375" style="14" customWidth="1"/>
    <col min="2" max="2" width="11.375" style="14" customWidth="1"/>
    <col min="3" max="3" width="10.00390625" style="14" customWidth="1"/>
    <col min="4" max="4" width="8.75390625" style="14" customWidth="1"/>
    <col min="5" max="5" width="7.125" style="14" customWidth="1"/>
    <col min="6" max="6" width="9.00390625" style="14" customWidth="1"/>
    <col min="7" max="7" width="8.375" style="14" customWidth="1"/>
    <col min="8" max="8" width="9.125" style="14" customWidth="1"/>
    <col min="9" max="9" width="7.25390625" style="14" customWidth="1"/>
    <col min="10" max="16384" width="9.125" style="14" customWidth="1"/>
  </cols>
  <sheetData>
    <row r="1" spans="1:16" s="12" customFormat="1" ht="12.75">
      <c r="A1" s="2" t="s">
        <v>422</v>
      </c>
      <c r="B1" s="2">
        <v>3995.5</v>
      </c>
      <c r="C1" s="2"/>
      <c r="D1" s="2"/>
      <c r="E1" s="2"/>
      <c r="F1" s="2"/>
      <c r="G1" s="2"/>
      <c r="H1" s="2" t="s">
        <v>418</v>
      </c>
      <c r="I1" s="2"/>
      <c r="J1" s="2"/>
      <c r="K1" s="2" t="s">
        <v>407</v>
      </c>
      <c r="L1" s="2"/>
      <c r="M1" s="2" t="s">
        <v>601</v>
      </c>
      <c r="N1" s="2"/>
      <c r="O1" s="2"/>
      <c r="P1" s="2">
        <v>-66216.8</v>
      </c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2" customFormat="1" ht="12.75">
      <c r="A3" s="2" t="s">
        <v>409</v>
      </c>
      <c r="B3" s="2" t="s">
        <v>410</v>
      </c>
      <c r="C3" s="2" t="s">
        <v>434</v>
      </c>
      <c r="D3" s="2" t="s">
        <v>438</v>
      </c>
      <c r="E3" s="2" t="s">
        <v>437</v>
      </c>
      <c r="F3" s="2" t="s">
        <v>436</v>
      </c>
      <c r="G3" s="2" t="s">
        <v>413</v>
      </c>
      <c r="H3" s="2" t="s">
        <v>414</v>
      </c>
      <c r="I3" s="2" t="s">
        <v>416</v>
      </c>
      <c r="J3" s="2" t="s">
        <v>417</v>
      </c>
      <c r="K3" s="2" t="s">
        <v>423</v>
      </c>
      <c r="L3" s="2" t="s">
        <v>424</v>
      </c>
      <c r="M3" s="2" t="s">
        <v>425</v>
      </c>
      <c r="N3" s="2" t="s">
        <v>426</v>
      </c>
      <c r="O3" s="2" t="s">
        <v>434</v>
      </c>
      <c r="P3" s="2" t="s">
        <v>427</v>
      </c>
    </row>
    <row r="4" spans="1:16" ht="12.75">
      <c r="A4" s="1" t="s">
        <v>411</v>
      </c>
      <c r="B4" s="1">
        <v>1.57</v>
      </c>
      <c r="C4" s="1">
        <f>B4*B1</f>
        <v>6272.935</v>
      </c>
      <c r="D4" s="1">
        <f>B4*B1</f>
        <v>6272.935</v>
      </c>
      <c r="E4" s="1">
        <v>6272.94</v>
      </c>
      <c r="F4" s="1">
        <v>6272.94</v>
      </c>
      <c r="G4" s="1">
        <v>6272.94</v>
      </c>
      <c r="H4" s="1">
        <f>B4*B1</f>
        <v>6272.935</v>
      </c>
      <c r="I4" s="1">
        <v>6272.94</v>
      </c>
      <c r="J4" s="1">
        <v>6272.94</v>
      </c>
      <c r="K4" s="1"/>
      <c r="L4" s="1"/>
      <c r="M4" s="1"/>
      <c r="N4" s="1"/>
      <c r="O4" s="1"/>
      <c r="P4" s="1">
        <f>SUM(C4:O4)</f>
        <v>50183.505000000005</v>
      </c>
    </row>
    <row r="5" spans="1:16" ht="12.75">
      <c r="A5" s="1" t="s">
        <v>451</v>
      </c>
      <c r="B5" s="1">
        <v>1.6</v>
      </c>
      <c r="C5" s="1">
        <v>6392.8</v>
      </c>
      <c r="D5" s="1">
        <v>6392.8</v>
      </c>
      <c r="E5" s="1">
        <v>6392.8</v>
      </c>
      <c r="F5" s="1">
        <v>6392.8</v>
      </c>
      <c r="G5" s="1">
        <v>6392.8</v>
      </c>
      <c r="H5" s="1">
        <f>B5*B1</f>
        <v>6392.8</v>
      </c>
      <c r="I5" s="1">
        <v>6392.8</v>
      </c>
      <c r="J5" s="1">
        <v>6392.8</v>
      </c>
      <c r="K5" s="1"/>
      <c r="L5" s="1"/>
      <c r="M5" s="1"/>
      <c r="N5" s="1"/>
      <c r="O5" s="1"/>
      <c r="P5" s="1">
        <f aca="true" t="shared" si="0" ref="P5:P66">SUM(C5:O5)</f>
        <v>51142.40000000001</v>
      </c>
    </row>
    <row r="6" spans="1:16" ht="12.75">
      <c r="A6" s="1" t="s">
        <v>412</v>
      </c>
      <c r="B6" s="1">
        <v>1.6</v>
      </c>
      <c r="C6" s="1">
        <v>6392.8</v>
      </c>
      <c r="D6" s="1">
        <v>6392.8</v>
      </c>
      <c r="E6" s="1">
        <v>6392.8</v>
      </c>
      <c r="F6" s="1">
        <v>6392.8</v>
      </c>
      <c r="G6" s="1">
        <v>6392.8</v>
      </c>
      <c r="H6" s="1">
        <f>B6*B1</f>
        <v>6392.8</v>
      </c>
      <c r="I6" s="1">
        <v>6392.8</v>
      </c>
      <c r="J6" s="1">
        <v>6392.8</v>
      </c>
      <c r="K6" s="1"/>
      <c r="L6" s="1"/>
      <c r="M6" s="1"/>
      <c r="N6" s="1"/>
      <c r="O6" s="1"/>
      <c r="P6" s="1">
        <f t="shared" si="0"/>
        <v>51142.40000000001</v>
      </c>
    </row>
    <row r="7" spans="1:16" ht="12.75">
      <c r="A7" s="3" t="s">
        <v>220</v>
      </c>
      <c r="B7" s="1">
        <v>0.44</v>
      </c>
      <c r="C7" s="1">
        <v>1758.02</v>
      </c>
      <c r="D7" s="1">
        <v>1758.02</v>
      </c>
      <c r="E7" s="1">
        <v>1758.02</v>
      </c>
      <c r="F7" s="1">
        <v>1758.02</v>
      </c>
      <c r="G7" s="1">
        <v>1758.02</v>
      </c>
      <c r="H7" s="1">
        <v>1758.02</v>
      </c>
      <c r="I7" s="1">
        <v>1758.02</v>
      </c>
      <c r="J7" s="1">
        <v>1758.02</v>
      </c>
      <c r="K7" s="1"/>
      <c r="L7" s="1"/>
      <c r="M7" s="1"/>
      <c r="N7" s="1"/>
      <c r="O7" s="1"/>
      <c r="P7" s="1">
        <f t="shared" si="0"/>
        <v>14064.160000000002</v>
      </c>
    </row>
    <row r="8" spans="1:16" ht="12.75">
      <c r="A8" s="3" t="s">
        <v>221</v>
      </c>
      <c r="B8" s="1">
        <v>0.66</v>
      </c>
      <c r="C8" s="1">
        <v>2637.03</v>
      </c>
      <c r="D8" s="1">
        <v>2637.03</v>
      </c>
      <c r="E8" s="1">
        <v>2637.03</v>
      </c>
      <c r="F8" s="1">
        <v>2637.03</v>
      </c>
      <c r="G8" s="1">
        <v>2637.03</v>
      </c>
      <c r="H8" s="1">
        <v>2637.03</v>
      </c>
      <c r="I8" s="1">
        <v>2637.03</v>
      </c>
      <c r="J8" s="1">
        <v>2637.03</v>
      </c>
      <c r="K8" s="1"/>
      <c r="L8" s="1"/>
      <c r="M8" s="1"/>
      <c r="N8" s="1"/>
      <c r="O8" s="1"/>
      <c r="P8" s="1">
        <f t="shared" si="0"/>
        <v>21096.24</v>
      </c>
    </row>
    <row r="9" spans="1:16" ht="12.75">
      <c r="A9" s="3" t="s">
        <v>478</v>
      </c>
      <c r="B9" s="1"/>
      <c r="C9" s="1">
        <v>4069</v>
      </c>
      <c r="D9" s="1">
        <v>4069</v>
      </c>
      <c r="E9" s="1">
        <v>4069</v>
      </c>
      <c r="F9" s="1">
        <v>4069</v>
      </c>
      <c r="G9" s="1">
        <v>4069</v>
      </c>
      <c r="H9" s="1">
        <v>4069</v>
      </c>
      <c r="I9" s="1">
        <v>4069</v>
      </c>
      <c r="J9" s="1">
        <v>4069</v>
      </c>
      <c r="K9" s="1"/>
      <c r="L9" s="1"/>
      <c r="M9" s="1"/>
      <c r="N9" s="1"/>
      <c r="O9" s="1"/>
      <c r="P9" s="1">
        <f t="shared" si="0"/>
        <v>32552</v>
      </c>
    </row>
    <row r="10" spans="1:16" ht="12.75">
      <c r="A10" s="3" t="s">
        <v>253</v>
      </c>
      <c r="B10" s="1"/>
      <c r="C10" s="1">
        <v>4069</v>
      </c>
      <c r="D10" s="1">
        <v>4069</v>
      </c>
      <c r="E10" s="1">
        <v>4069</v>
      </c>
      <c r="F10" s="1">
        <v>4069</v>
      </c>
      <c r="G10" s="1">
        <v>4069</v>
      </c>
      <c r="H10" s="1">
        <v>4069</v>
      </c>
      <c r="I10" s="1">
        <v>4069</v>
      </c>
      <c r="J10" s="1">
        <v>4069</v>
      </c>
      <c r="K10" s="1"/>
      <c r="L10" s="1"/>
      <c r="M10" s="1"/>
      <c r="N10" s="1"/>
      <c r="O10" s="1"/>
      <c r="P10" s="1">
        <f t="shared" si="0"/>
        <v>32552</v>
      </c>
    </row>
    <row r="11" spans="1:16" ht="12.75">
      <c r="A11" s="3" t="s">
        <v>263</v>
      </c>
      <c r="B11" s="1"/>
      <c r="C11" s="1">
        <v>500</v>
      </c>
      <c r="D11" s="1">
        <v>500</v>
      </c>
      <c r="E11" s="1">
        <v>500</v>
      </c>
      <c r="F11" s="1">
        <v>500</v>
      </c>
      <c r="G11" s="1">
        <v>500</v>
      </c>
      <c r="H11" s="1">
        <v>500</v>
      </c>
      <c r="I11" s="1">
        <v>500</v>
      </c>
      <c r="J11" s="1">
        <v>500</v>
      </c>
      <c r="K11" s="1"/>
      <c r="L11" s="1"/>
      <c r="M11" s="1"/>
      <c r="N11" s="1"/>
      <c r="O11" s="1"/>
      <c r="P11" s="1">
        <f t="shared" si="0"/>
        <v>4000</v>
      </c>
    </row>
    <row r="12" spans="1:16" ht="12.75">
      <c r="A12" s="1" t="s">
        <v>429</v>
      </c>
      <c r="B12" s="1"/>
      <c r="C12" s="1">
        <v>183.79</v>
      </c>
      <c r="D12" s="1">
        <v>183.79</v>
      </c>
      <c r="E12" s="1">
        <v>183.79</v>
      </c>
      <c r="F12" s="1">
        <v>183.79</v>
      </c>
      <c r="G12" s="1">
        <v>183.79</v>
      </c>
      <c r="H12" s="1">
        <v>127.86</v>
      </c>
      <c r="I12" s="1">
        <v>579.35</v>
      </c>
      <c r="J12" s="1">
        <v>579.35</v>
      </c>
      <c r="K12" s="1"/>
      <c r="L12" s="1"/>
      <c r="M12" s="1"/>
      <c r="N12" s="1"/>
      <c r="O12" s="1"/>
      <c r="P12" s="1">
        <f t="shared" si="0"/>
        <v>2205.5099999999998</v>
      </c>
    </row>
    <row r="13" spans="1:16" ht="12.75">
      <c r="A13" s="3" t="s">
        <v>497</v>
      </c>
      <c r="B13" s="1"/>
      <c r="C13" s="1"/>
      <c r="D13" s="1"/>
      <c r="E13" s="1"/>
      <c r="F13" s="1"/>
      <c r="G13" s="1"/>
      <c r="H13" s="1"/>
      <c r="I13" s="1"/>
      <c r="J13" s="1">
        <f>16944+257.07</f>
        <v>17201.07</v>
      </c>
      <c r="K13" s="1"/>
      <c r="L13" s="1"/>
      <c r="M13" s="1"/>
      <c r="N13" s="1"/>
      <c r="O13" s="1"/>
      <c r="P13" s="1">
        <f t="shared" si="0"/>
        <v>17201.07</v>
      </c>
    </row>
    <row r="14" spans="1:16" ht="12.75">
      <c r="A14" s="3" t="s">
        <v>226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si="0"/>
        <v>0</v>
      </c>
    </row>
    <row r="15" spans="1:16" ht="12.75">
      <c r="A15" s="3" t="s">
        <v>725</v>
      </c>
      <c r="B15" s="1"/>
      <c r="C15" s="1"/>
      <c r="D15" s="1"/>
      <c r="E15" s="1"/>
      <c r="F15" s="1">
        <v>828.32</v>
      </c>
      <c r="G15" s="1"/>
      <c r="H15" s="1"/>
      <c r="I15" s="1"/>
      <c r="J15" s="1"/>
      <c r="K15" s="1"/>
      <c r="L15" s="1"/>
      <c r="M15" s="1"/>
      <c r="N15" s="1"/>
      <c r="O15" s="1"/>
      <c r="P15" s="1">
        <f>SUM(C15:O15)</f>
        <v>828.32</v>
      </c>
    </row>
    <row r="16" spans="1:16" ht="12.75">
      <c r="A16" s="3" t="s">
        <v>492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f t="shared" si="0"/>
        <v>0</v>
      </c>
    </row>
    <row r="17" spans="1:16" ht="12.75">
      <c r="A17" s="3" t="s">
        <v>507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si="0"/>
        <v>0</v>
      </c>
    </row>
    <row r="18" spans="1:16" ht="22.5">
      <c r="A18" s="3" t="s">
        <v>75</v>
      </c>
      <c r="B18" s="1"/>
      <c r="C18" s="1"/>
      <c r="D18" s="1"/>
      <c r="E18" s="1"/>
      <c r="F18" s="1"/>
      <c r="G18" s="1"/>
      <c r="H18" s="1"/>
      <c r="I18" s="1">
        <v>17817</v>
      </c>
      <c r="J18" s="1"/>
      <c r="K18" s="1"/>
      <c r="L18" s="1"/>
      <c r="M18" s="1"/>
      <c r="N18" s="1"/>
      <c r="O18" s="1"/>
      <c r="P18" s="1">
        <v>17817</v>
      </c>
    </row>
    <row r="19" spans="1:16" ht="12.75">
      <c r="A19" s="3" t="s">
        <v>710</v>
      </c>
      <c r="B19" s="1"/>
      <c r="C19" s="1"/>
      <c r="D19" s="1"/>
      <c r="E19" s="1"/>
      <c r="F19" s="1">
        <v>808.16</v>
      </c>
      <c r="G19" s="1"/>
      <c r="H19" s="1">
        <v>1208.32</v>
      </c>
      <c r="I19" s="1"/>
      <c r="J19" s="1"/>
      <c r="K19" s="1"/>
      <c r="L19" s="1"/>
      <c r="M19" s="1"/>
      <c r="N19" s="1"/>
      <c r="O19" s="1"/>
      <c r="P19" s="1">
        <f>SUM(C19:O19)</f>
        <v>2016.48</v>
      </c>
    </row>
    <row r="20" spans="1:16" ht="12.75">
      <c r="A20" s="3" t="s">
        <v>36</v>
      </c>
      <c r="B20" s="1"/>
      <c r="C20" s="1"/>
      <c r="D20" s="1"/>
      <c r="E20" s="1"/>
      <c r="F20" s="1"/>
      <c r="G20" s="1"/>
      <c r="H20" s="1"/>
      <c r="I20" s="1"/>
      <c r="J20" s="1">
        <v>2082.64</v>
      </c>
      <c r="K20" s="1"/>
      <c r="L20" s="1"/>
      <c r="M20" s="1"/>
      <c r="N20" s="1"/>
      <c r="O20" s="1"/>
      <c r="P20" s="1">
        <v>2082.64</v>
      </c>
    </row>
    <row r="21" spans="1:16" ht="12.75">
      <c r="A21" s="3" t="s">
        <v>101</v>
      </c>
      <c r="B21" s="1"/>
      <c r="C21" s="1"/>
      <c r="D21" s="1"/>
      <c r="E21" s="1"/>
      <c r="F21" s="1"/>
      <c r="G21" s="1"/>
      <c r="H21" s="1"/>
      <c r="I21" s="1">
        <v>5055.64</v>
      </c>
      <c r="J21" s="1"/>
      <c r="K21" s="1"/>
      <c r="L21" s="1"/>
      <c r="M21" s="1"/>
      <c r="N21" s="1"/>
      <c r="O21" s="1"/>
      <c r="P21" s="1">
        <v>5055.64</v>
      </c>
    </row>
    <row r="22" spans="1:16" ht="12.75">
      <c r="A22" s="3" t="s">
        <v>700</v>
      </c>
      <c r="B22" s="1"/>
      <c r="C22" s="1"/>
      <c r="D22" s="1"/>
      <c r="E22" s="1"/>
      <c r="F22" s="1">
        <v>414.16</v>
      </c>
      <c r="G22" s="1"/>
      <c r="H22" s="1"/>
      <c r="I22" s="1"/>
      <c r="J22" s="1"/>
      <c r="K22" s="1"/>
      <c r="L22" s="1"/>
      <c r="M22" s="1"/>
      <c r="N22" s="1"/>
      <c r="O22" s="1"/>
      <c r="P22" s="1">
        <v>414.16</v>
      </c>
    </row>
    <row r="23" spans="1:16" ht="12.75">
      <c r="A23" s="3" t="s">
        <v>494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>
        <f t="shared" si="0"/>
        <v>0</v>
      </c>
    </row>
    <row r="24" spans="1:16" ht="12.75">
      <c r="A24" s="3" t="s">
        <v>777</v>
      </c>
      <c r="B24" s="1"/>
      <c r="C24" s="1"/>
      <c r="D24" s="1"/>
      <c r="E24" s="1"/>
      <c r="F24" s="1"/>
      <c r="G24" s="1"/>
      <c r="H24" s="1">
        <v>2000.64</v>
      </c>
      <c r="I24" s="1"/>
      <c r="J24" s="1"/>
      <c r="K24" s="1"/>
      <c r="L24" s="1"/>
      <c r="M24" s="1"/>
      <c r="N24" s="1"/>
      <c r="O24" s="1"/>
      <c r="P24" s="1">
        <v>2000.64</v>
      </c>
    </row>
    <row r="25" spans="1:16" ht="12.75">
      <c r="A25" s="3" t="s">
        <v>235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>
        <f t="shared" si="0"/>
        <v>0</v>
      </c>
    </row>
    <row r="26" spans="1:16" ht="12.75">
      <c r="A26" s="3" t="s">
        <v>300</v>
      </c>
      <c r="B26" s="1"/>
      <c r="C26" s="1"/>
      <c r="D26" s="1"/>
      <c r="E26" s="1"/>
      <c r="F26" s="1">
        <v>76</v>
      </c>
      <c r="G26" s="1"/>
      <c r="H26" s="1"/>
      <c r="I26" s="1"/>
      <c r="J26" s="1"/>
      <c r="K26" s="1"/>
      <c r="L26" s="1"/>
      <c r="M26" s="1"/>
      <c r="N26" s="1"/>
      <c r="O26" s="1"/>
      <c r="P26" s="1">
        <f t="shared" si="0"/>
        <v>76</v>
      </c>
    </row>
    <row r="27" spans="1:16" ht="12.75">
      <c r="A27" s="3" t="s">
        <v>168</v>
      </c>
      <c r="B27" s="1"/>
      <c r="C27" s="1"/>
      <c r="D27" s="1"/>
      <c r="E27" s="1"/>
      <c r="F27" s="1">
        <v>34261.84</v>
      </c>
      <c r="G27" s="1"/>
      <c r="H27" s="1"/>
      <c r="I27" s="1"/>
      <c r="J27" s="1"/>
      <c r="K27" s="1"/>
      <c r="L27" s="1"/>
      <c r="M27" s="1"/>
      <c r="N27" s="1"/>
      <c r="O27" s="1"/>
      <c r="P27" s="1">
        <f t="shared" si="0"/>
        <v>34261.84</v>
      </c>
    </row>
    <row r="28" spans="1:16" ht="12.75">
      <c r="A28" s="3" t="s">
        <v>169</v>
      </c>
      <c r="B28" s="1"/>
      <c r="C28" s="1"/>
      <c r="D28" s="1"/>
      <c r="E28" s="1"/>
      <c r="F28" s="1">
        <v>3637.64</v>
      </c>
      <c r="G28" s="1"/>
      <c r="H28" s="1"/>
      <c r="I28" s="1"/>
      <c r="J28" s="1"/>
      <c r="K28" s="1"/>
      <c r="L28" s="1"/>
      <c r="M28" s="1"/>
      <c r="N28" s="1"/>
      <c r="O28" s="1"/>
      <c r="P28" s="1">
        <f t="shared" si="0"/>
        <v>3637.64</v>
      </c>
    </row>
    <row r="29" spans="1:16" ht="33.75">
      <c r="A29" s="3" t="s">
        <v>170</v>
      </c>
      <c r="B29" s="1"/>
      <c r="C29" s="1"/>
      <c r="D29" s="1"/>
      <c r="E29" s="1"/>
      <c r="F29" s="1">
        <v>1031.86</v>
      </c>
      <c r="G29" s="1"/>
      <c r="H29" s="1"/>
      <c r="I29" s="1"/>
      <c r="J29" s="1"/>
      <c r="K29" s="1"/>
      <c r="L29" s="1"/>
      <c r="M29" s="1"/>
      <c r="N29" s="1"/>
      <c r="O29" s="1"/>
      <c r="P29" s="1">
        <f t="shared" si="0"/>
        <v>1031.86</v>
      </c>
    </row>
    <row r="30" spans="1:16" ht="22.5">
      <c r="A30" s="3" t="s">
        <v>658</v>
      </c>
      <c r="B30" s="1"/>
      <c r="C30" s="1"/>
      <c r="D30" s="1"/>
      <c r="E30" s="1"/>
      <c r="F30" s="1"/>
      <c r="G30" s="1">
        <v>884.32</v>
      </c>
      <c r="H30" s="1"/>
      <c r="I30" s="1"/>
      <c r="J30" s="1"/>
      <c r="K30" s="1"/>
      <c r="L30" s="1"/>
      <c r="M30" s="1"/>
      <c r="N30" s="1"/>
      <c r="O30" s="1"/>
      <c r="P30" s="1">
        <f>SUM(C30:O30)</f>
        <v>884.32</v>
      </c>
    </row>
    <row r="31" spans="1:16" ht="12.75">
      <c r="A31" s="3" t="s">
        <v>171</v>
      </c>
      <c r="B31" s="1"/>
      <c r="C31" s="1"/>
      <c r="D31" s="1">
        <v>310.62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>
        <f t="shared" si="0"/>
        <v>310.62</v>
      </c>
    </row>
    <row r="32" spans="1:16" ht="12.75">
      <c r="A32" s="3" t="s">
        <v>172</v>
      </c>
      <c r="B32" s="1"/>
      <c r="C32" s="1"/>
      <c r="D32" s="1">
        <v>207.08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>
        <f t="shared" si="0"/>
        <v>207.08</v>
      </c>
    </row>
    <row r="33" spans="1:16" ht="12.75">
      <c r="A33" s="3" t="s">
        <v>171</v>
      </c>
      <c r="B33" s="1"/>
      <c r="C33" s="1"/>
      <c r="D33" s="1">
        <v>414.16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>
        <f t="shared" si="0"/>
        <v>414.16</v>
      </c>
    </row>
    <row r="34" spans="1:16" ht="12.75">
      <c r="A34" s="3" t="s">
        <v>171</v>
      </c>
      <c r="B34" s="1"/>
      <c r="C34" s="1"/>
      <c r="D34" s="1">
        <v>310.62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>
        <f t="shared" si="0"/>
        <v>310.62</v>
      </c>
    </row>
    <row r="35" spans="1:16" ht="12.75">
      <c r="A35" s="3" t="s">
        <v>643</v>
      </c>
      <c r="B35" s="1"/>
      <c r="C35" s="1"/>
      <c r="D35" s="1"/>
      <c r="E35" s="1"/>
      <c r="F35" s="1"/>
      <c r="G35" s="1">
        <v>13857.82</v>
      </c>
      <c r="H35" s="1"/>
      <c r="I35" s="1"/>
      <c r="J35" s="1"/>
      <c r="K35" s="1"/>
      <c r="L35" s="1"/>
      <c r="M35" s="1"/>
      <c r="N35" s="1"/>
      <c r="O35" s="1"/>
      <c r="P35" s="1">
        <f>SUM(C35:O35)</f>
        <v>13857.82</v>
      </c>
    </row>
    <row r="36" spans="1:16" ht="22.5">
      <c r="A36" s="3" t="s">
        <v>173</v>
      </c>
      <c r="B36" s="1"/>
      <c r="C36" s="1"/>
      <c r="D36" s="1"/>
      <c r="E36" s="1">
        <v>479.16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>
        <f t="shared" si="0"/>
        <v>479.16</v>
      </c>
    </row>
    <row r="37" spans="1:16" ht="25.5">
      <c r="A37" s="37" t="s">
        <v>174</v>
      </c>
      <c r="B37" s="1"/>
      <c r="C37" s="1"/>
      <c r="D37" s="1"/>
      <c r="E37" s="1">
        <v>4973.04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>
        <f t="shared" si="0"/>
        <v>4973.04</v>
      </c>
    </row>
    <row r="38" spans="1:16" ht="47.25" customHeight="1">
      <c r="A38" s="3" t="s">
        <v>175</v>
      </c>
      <c r="B38" s="1"/>
      <c r="C38" s="1"/>
      <c r="D38" s="1"/>
      <c r="E38" s="1">
        <v>7192.24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>
        <f t="shared" si="0"/>
        <v>7192.24</v>
      </c>
    </row>
    <row r="39" spans="1:16" ht="22.5">
      <c r="A39" s="3" t="s">
        <v>176</v>
      </c>
      <c r="B39" s="1"/>
      <c r="C39" s="1"/>
      <c r="D39" s="1"/>
      <c r="E39" s="1">
        <v>207.08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>
        <f t="shared" si="0"/>
        <v>207.08</v>
      </c>
    </row>
    <row r="40" spans="1:16" ht="12.75">
      <c r="A40" s="3" t="s">
        <v>177</v>
      </c>
      <c r="B40" s="1"/>
      <c r="C40" s="1"/>
      <c r="D40" s="1"/>
      <c r="E40" s="1">
        <v>1656.64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>
        <f t="shared" si="0"/>
        <v>1656.64</v>
      </c>
    </row>
    <row r="41" spans="1:16" ht="12.75">
      <c r="A41" s="3" t="s">
        <v>178</v>
      </c>
      <c r="B41" s="1"/>
      <c r="C41" s="1"/>
      <c r="D41" s="1"/>
      <c r="E41" s="1">
        <v>2260.32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>
        <f t="shared" si="0"/>
        <v>2260.32</v>
      </c>
    </row>
    <row r="42" spans="1:16" ht="22.5">
      <c r="A42" s="3" t="s">
        <v>179</v>
      </c>
      <c r="B42" s="1"/>
      <c r="C42" s="1"/>
      <c r="D42" s="1">
        <v>207.08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>
        <f t="shared" si="0"/>
        <v>207.08</v>
      </c>
    </row>
    <row r="43" spans="1:16" ht="12.75">
      <c r="A43" s="3" t="s">
        <v>624</v>
      </c>
      <c r="B43" s="1"/>
      <c r="C43" s="1"/>
      <c r="D43" s="1"/>
      <c r="E43" s="1"/>
      <c r="F43" s="1"/>
      <c r="G43" s="1">
        <v>414.16</v>
      </c>
      <c r="H43" s="1"/>
      <c r="I43" s="1"/>
      <c r="J43" s="1"/>
      <c r="K43" s="1"/>
      <c r="L43" s="1"/>
      <c r="M43" s="1"/>
      <c r="N43" s="1"/>
      <c r="O43" s="1"/>
      <c r="P43" s="1">
        <f>SUM(C43:O43)</f>
        <v>414.16</v>
      </c>
    </row>
    <row r="44" spans="1:16" ht="22.5">
      <c r="A44" s="3" t="s">
        <v>783</v>
      </c>
      <c r="B44" s="1"/>
      <c r="C44" s="1"/>
      <c r="D44" s="1"/>
      <c r="E44" s="1"/>
      <c r="F44" s="1"/>
      <c r="G44" s="1"/>
      <c r="H44" s="1">
        <v>207.08</v>
      </c>
      <c r="I44" s="1"/>
      <c r="J44" s="1"/>
      <c r="K44" s="1"/>
      <c r="L44" s="1"/>
      <c r="M44" s="1"/>
      <c r="N44" s="1"/>
      <c r="O44" s="1"/>
      <c r="P44" s="1">
        <v>207.08</v>
      </c>
    </row>
    <row r="45" spans="1:16" ht="33.75">
      <c r="A45" s="3" t="s">
        <v>180</v>
      </c>
      <c r="B45" s="1"/>
      <c r="C45" s="1"/>
      <c r="D45" s="1">
        <v>828.32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>
        <f t="shared" si="0"/>
        <v>828.32</v>
      </c>
    </row>
    <row r="46" spans="1:16" ht="12.75">
      <c r="A46" s="3" t="s">
        <v>181</v>
      </c>
      <c r="B46" s="1"/>
      <c r="C46" s="1"/>
      <c r="D46" s="1">
        <v>3782.96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>
        <f t="shared" si="0"/>
        <v>3782.96</v>
      </c>
    </row>
    <row r="47" spans="1:16" ht="12.75">
      <c r="A47" s="3" t="s">
        <v>182</v>
      </c>
      <c r="B47" s="1"/>
      <c r="C47" s="1"/>
      <c r="D47" s="1">
        <v>828.32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>
        <f t="shared" si="0"/>
        <v>828.32</v>
      </c>
    </row>
    <row r="48" spans="1:16" ht="12.75">
      <c r="A48" s="3" t="s">
        <v>183</v>
      </c>
      <c r="B48" s="1"/>
      <c r="C48" s="1"/>
      <c r="D48" s="1">
        <v>3023.96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>
        <f t="shared" si="0"/>
        <v>3023.96</v>
      </c>
    </row>
    <row r="49" spans="1:16" ht="18.75" customHeight="1">
      <c r="A49" s="3" t="s">
        <v>184</v>
      </c>
      <c r="B49" s="1"/>
      <c r="C49" s="1"/>
      <c r="D49" s="1">
        <v>2783.96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>
        <f t="shared" si="0"/>
        <v>2783.96</v>
      </c>
    </row>
    <row r="50" spans="1:16" ht="18" customHeight="1">
      <c r="A50" s="3" t="s">
        <v>185</v>
      </c>
      <c r="B50" s="1"/>
      <c r="C50" s="1"/>
      <c r="D50" s="1">
        <v>1721.64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>
        <f t="shared" si="0"/>
        <v>1721.64</v>
      </c>
    </row>
    <row r="51" spans="1:16" ht="12.75">
      <c r="A51" s="3" t="s">
        <v>167</v>
      </c>
      <c r="B51" s="1"/>
      <c r="C51" s="1"/>
      <c r="D51" s="1"/>
      <c r="E51" s="1"/>
      <c r="F51" s="1">
        <v>305</v>
      </c>
      <c r="G51" s="1"/>
      <c r="H51" s="1"/>
      <c r="I51" s="1"/>
      <c r="J51" s="1"/>
      <c r="K51" s="1"/>
      <c r="L51" s="1"/>
      <c r="M51" s="1"/>
      <c r="N51" s="1"/>
      <c r="O51" s="1"/>
      <c r="P51" s="1">
        <f t="shared" si="0"/>
        <v>305</v>
      </c>
    </row>
    <row r="52" spans="1:16" ht="12.75">
      <c r="A52" s="3" t="s">
        <v>528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>
        <f t="shared" si="0"/>
        <v>0</v>
      </c>
    </row>
    <row r="53" spans="1:16" ht="12.75">
      <c r="A53" s="3" t="s">
        <v>186</v>
      </c>
      <c r="B53" s="1"/>
      <c r="C53" s="1"/>
      <c r="D53" s="1">
        <v>1656.64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>
        <f t="shared" si="0"/>
        <v>1656.64</v>
      </c>
    </row>
    <row r="54" spans="1:16" ht="12.75">
      <c r="A54" s="3" t="s">
        <v>742</v>
      </c>
      <c r="B54" s="1"/>
      <c r="C54" s="1"/>
      <c r="D54" s="1"/>
      <c r="E54" s="1"/>
      <c r="F54" s="1"/>
      <c r="G54" s="1"/>
      <c r="H54" s="1">
        <v>1565</v>
      </c>
      <c r="I54" s="1"/>
      <c r="J54" s="1"/>
      <c r="K54" s="1"/>
      <c r="L54" s="1"/>
      <c r="M54" s="1"/>
      <c r="N54" s="1"/>
      <c r="O54" s="1"/>
      <c r="P54" s="1">
        <v>1565</v>
      </c>
    </row>
    <row r="55" spans="1:16" ht="12.75">
      <c r="A55" s="3" t="s">
        <v>761</v>
      </c>
      <c r="B55" s="1"/>
      <c r="C55" s="1"/>
      <c r="D55" s="1"/>
      <c r="E55" s="1"/>
      <c r="F55" s="1"/>
      <c r="G55" s="1"/>
      <c r="H55" s="1">
        <v>1170.32</v>
      </c>
      <c r="I55" s="1"/>
      <c r="J55" s="1"/>
      <c r="K55" s="1"/>
      <c r="L55" s="1"/>
      <c r="M55" s="1"/>
      <c r="N55" s="1"/>
      <c r="O55" s="1"/>
      <c r="P55" s="1">
        <v>1170.32</v>
      </c>
    </row>
    <row r="56" spans="1:16" ht="22.5">
      <c r="A56" s="3" t="s">
        <v>762</v>
      </c>
      <c r="B56" s="1"/>
      <c r="C56" s="1"/>
      <c r="D56" s="1"/>
      <c r="E56" s="1"/>
      <c r="F56" s="1"/>
      <c r="G56" s="1"/>
      <c r="H56" s="1">
        <v>2844.99</v>
      </c>
      <c r="I56" s="1"/>
      <c r="J56" s="1"/>
      <c r="K56" s="1"/>
      <c r="L56" s="1"/>
      <c r="M56" s="1"/>
      <c r="N56" s="1"/>
      <c r="O56" s="1"/>
      <c r="P56" s="1">
        <v>2844.99</v>
      </c>
    </row>
    <row r="57" spans="1:16" ht="12.75">
      <c r="A57" s="3" t="s">
        <v>187</v>
      </c>
      <c r="B57" s="1"/>
      <c r="C57" s="1"/>
      <c r="D57" s="1">
        <v>828.32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>
        <f t="shared" si="0"/>
        <v>828.32</v>
      </c>
    </row>
    <row r="58" spans="1:16" ht="12.75">
      <c r="A58" s="3" t="s">
        <v>188</v>
      </c>
      <c r="B58" s="1"/>
      <c r="C58" s="1">
        <v>103.54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>
        <f t="shared" si="0"/>
        <v>103.54</v>
      </c>
    </row>
    <row r="59" spans="1:16" ht="33.75">
      <c r="A59" s="3" t="s">
        <v>189</v>
      </c>
      <c r="B59" s="1"/>
      <c r="C59" s="1">
        <v>2432.14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>
        <f t="shared" si="0"/>
        <v>2432.14</v>
      </c>
    </row>
    <row r="60" spans="1:16" ht="12.75">
      <c r="A60" s="3" t="s">
        <v>763</v>
      </c>
      <c r="B60" s="1"/>
      <c r="C60" s="1"/>
      <c r="D60" s="1"/>
      <c r="E60" s="1"/>
      <c r="F60" s="1"/>
      <c r="G60" s="1"/>
      <c r="H60" s="1">
        <v>2290.76</v>
      </c>
      <c r="I60" s="1"/>
      <c r="J60" s="1"/>
      <c r="K60" s="1"/>
      <c r="L60" s="1"/>
      <c r="M60" s="1"/>
      <c r="N60" s="1"/>
      <c r="O60" s="1"/>
      <c r="P60" s="1">
        <v>2290.76</v>
      </c>
    </row>
    <row r="61" spans="1:16" ht="22.5">
      <c r="A61" s="3" t="s">
        <v>190</v>
      </c>
      <c r="B61" s="1"/>
      <c r="C61" s="1">
        <v>414.16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>
        <f t="shared" si="0"/>
        <v>414.16</v>
      </c>
    </row>
    <row r="62" spans="1:16" ht="12.75">
      <c r="A62" s="3" t="s">
        <v>191</v>
      </c>
      <c r="B62" s="1"/>
      <c r="C62" s="1">
        <v>2279.56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>
        <f t="shared" si="0"/>
        <v>2279.56</v>
      </c>
    </row>
    <row r="63" spans="1:16" ht="22.5">
      <c r="A63" s="3" t="s">
        <v>192</v>
      </c>
      <c r="B63" s="1"/>
      <c r="C63" s="1">
        <v>84244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>
        <f t="shared" si="0"/>
        <v>84244</v>
      </c>
    </row>
    <row r="64" spans="1:16" ht="12.75">
      <c r="A64" s="3" t="s">
        <v>682</v>
      </c>
      <c r="B64" s="1"/>
      <c r="C64" s="1"/>
      <c r="D64" s="1"/>
      <c r="E64" s="1"/>
      <c r="F64" s="1"/>
      <c r="G64" s="1">
        <v>4600</v>
      </c>
      <c r="H64" s="1"/>
      <c r="I64" s="1"/>
      <c r="J64" s="1"/>
      <c r="K64" s="1"/>
      <c r="L64" s="1"/>
      <c r="M64" s="1"/>
      <c r="N64" s="1"/>
      <c r="O64" s="1"/>
      <c r="P64" s="1">
        <f t="shared" si="0"/>
        <v>4600</v>
      </c>
    </row>
    <row r="65" spans="1:16" ht="12.75">
      <c r="A65" s="3" t="s">
        <v>620</v>
      </c>
      <c r="B65" s="1"/>
      <c r="C65" s="1"/>
      <c r="D65" s="1"/>
      <c r="E65" s="1"/>
      <c r="F65" s="1"/>
      <c r="G65" s="1">
        <v>2252.64</v>
      </c>
      <c r="H65" s="1"/>
      <c r="I65" s="1"/>
      <c r="J65" s="1"/>
      <c r="K65" s="1"/>
      <c r="L65" s="1"/>
      <c r="M65" s="1"/>
      <c r="N65" s="1"/>
      <c r="O65" s="1"/>
      <c r="P65" s="1">
        <f>SUM(C65:O65)</f>
        <v>2252.64</v>
      </c>
    </row>
    <row r="66" spans="1:16" ht="12.75">
      <c r="A66" s="3" t="s">
        <v>193</v>
      </c>
      <c r="B66" s="1"/>
      <c r="C66" s="1">
        <v>19392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>
        <f t="shared" si="0"/>
        <v>19392</v>
      </c>
    </row>
    <row r="67" spans="1:16" ht="12.75">
      <c r="A67" s="3" t="s">
        <v>0</v>
      </c>
      <c r="B67" s="1"/>
      <c r="C67" s="1"/>
      <c r="D67" s="1"/>
      <c r="E67" s="1"/>
      <c r="F67" s="1"/>
      <c r="G67" s="1"/>
      <c r="H67" s="1">
        <v>3000</v>
      </c>
      <c r="I67" s="1"/>
      <c r="J67" s="1"/>
      <c r="K67" s="1"/>
      <c r="L67" s="1"/>
      <c r="M67" s="1"/>
      <c r="N67" s="1"/>
      <c r="O67" s="1"/>
      <c r="P67" s="1">
        <v>3000</v>
      </c>
    </row>
    <row r="68" spans="1:16" ht="12.75">
      <c r="A68" s="1" t="s">
        <v>415</v>
      </c>
      <c r="B68" s="1"/>
      <c r="C68" s="1">
        <f>SUM(C4:C67)</f>
        <v>141140.775</v>
      </c>
      <c r="D68" s="1">
        <f>SUM(D4:D67)</f>
        <v>49179.055</v>
      </c>
      <c r="E68" s="1">
        <f>SUM(E4:E67)</f>
        <v>49043.86</v>
      </c>
      <c r="F68" s="1">
        <f>SUM(F4:F66)</f>
        <v>73638.36000000002</v>
      </c>
      <c r="G68" s="1">
        <f>SUM(G4:G66)</f>
        <v>54284.32000000001</v>
      </c>
      <c r="H68" s="1">
        <f>SUM(H4:H67)</f>
        <v>46506.555</v>
      </c>
      <c r="I68" s="1">
        <f>SUM(I4:I67)</f>
        <v>55543.58</v>
      </c>
      <c r="J68" s="1">
        <f>SUM(J4:J67)</f>
        <v>51954.649999999994</v>
      </c>
      <c r="K68" s="1">
        <f>SUM(K4:K61)</f>
        <v>0</v>
      </c>
      <c r="L68" s="1">
        <f>SUM(L4:L61)</f>
        <v>0</v>
      </c>
      <c r="M68" s="1">
        <f>SUM(M4:M61)</f>
        <v>0</v>
      </c>
      <c r="N68" s="1">
        <f>SUM(N4:N25)</f>
        <v>0</v>
      </c>
      <c r="O68" s="1">
        <f>SUM(O4:O61)</f>
        <v>0</v>
      </c>
      <c r="P68" s="1">
        <f>SUM(C68:O68)</f>
        <v>521291.155</v>
      </c>
    </row>
    <row r="69" spans="1:16" ht="12.75">
      <c r="A69" s="1" t="s">
        <v>419</v>
      </c>
      <c r="B69" s="1"/>
      <c r="C69" s="1">
        <v>46113.65</v>
      </c>
      <c r="D69" s="1">
        <v>51042.7</v>
      </c>
      <c r="E69" s="1">
        <v>56896.98</v>
      </c>
      <c r="F69" s="1">
        <v>56874.26</v>
      </c>
      <c r="G69" s="1">
        <v>60845.11</v>
      </c>
      <c r="H69" s="1">
        <v>47900.49</v>
      </c>
      <c r="I69" s="1">
        <v>69509.56</v>
      </c>
      <c r="J69" s="1">
        <v>51825.25</v>
      </c>
      <c r="K69" s="1"/>
      <c r="L69" s="1"/>
      <c r="M69" s="1"/>
      <c r="N69" s="1"/>
      <c r="O69" s="1"/>
      <c r="P69" s="1">
        <f>SUM(C69:O69)</f>
        <v>441008</v>
      </c>
    </row>
    <row r="70" spans="1:16" s="12" customFormat="1" ht="12.75">
      <c r="A70" s="1" t="s">
        <v>420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>
        <f>P69+P1+P71+P72+P73-P68</f>
        <v>-67356.80500000005</v>
      </c>
    </row>
    <row r="71" spans="1:16" ht="12.75">
      <c r="A71" s="1" t="s">
        <v>400</v>
      </c>
      <c r="F71" s="1">
        <f>1082.52+29494.23</f>
        <v>30576.75</v>
      </c>
      <c r="G71" s="1">
        <v>8216.25</v>
      </c>
      <c r="H71" s="1"/>
      <c r="I71" s="1">
        <v>916.65</v>
      </c>
      <c r="J71" s="1">
        <v>32865</v>
      </c>
      <c r="K71" s="1"/>
      <c r="L71" s="1"/>
      <c r="M71" s="1"/>
      <c r="N71" s="1"/>
      <c r="O71" s="1"/>
      <c r="P71" s="1">
        <f>SUM(F71:O71)</f>
        <v>72574.65</v>
      </c>
    </row>
    <row r="72" spans="1:16" ht="12.75">
      <c r="A72" s="1" t="s">
        <v>603</v>
      </c>
      <c r="B72" s="1"/>
      <c r="C72" s="1"/>
      <c r="D72" s="1"/>
      <c r="E72" s="1"/>
      <c r="F72" s="1"/>
      <c r="G72" s="1"/>
      <c r="H72" s="1">
        <v>400</v>
      </c>
      <c r="I72" s="1"/>
      <c r="J72" s="1">
        <v>240</v>
      </c>
      <c r="K72" s="1"/>
      <c r="L72" s="1"/>
      <c r="M72" s="1"/>
      <c r="N72" s="1"/>
      <c r="O72" s="1"/>
      <c r="P72" s="1">
        <f>SUM(F72:O72)</f>
        <v>640</v>
      </c>
    </row>
    <row r="73" spans="1:16" ht="12.75">
      <c r="A73" s="1" t="s">
        <v>527</v>
      </c>
      <c r="B73" s="46"/>
      <c r="C73" s="47"/>
      <c r="D73" s="47"/>
      <c r="E73" s="47"/>
      <c r="F73" s="48">
        <v>3675</v>
      </c>
      <c r="G73" s="1">
        <v>1513.5</v>
      </c>
      <c r="H73" s="1">
        <v>600</v>
      </c>
      <c r="I73" s="1"/>
      <c r="J73" s="1">
        <v>140</v>
      </c>
      <c r="K73" s="1"/>
      <c r="L73" s="1"/>
      <c r="M73" s="1"/>
      <c r="N73" s="1"/>
      <c r="O73" s="1"/>
      <c r="P73" s="1">
        <f>SUM(F73:O73)</f>
        <v>5928.5</v>
      </c>
    </row>
    <row r="74" spans="1:16" ht="12.75">
      <c r="A74" s="1"/>
      <c r="B74" s="62" t="s">
        <v>456</v>
      </c>
      <c r="C74" s="63"/>
      <c r="D74" s="63"/>
      <c r="E74" s="63"/>
      <c r="F74" s="64"/>
      <c r="G74" s="1"/>
      <c r="H74" s="1"/>
      <c r="I74" s="1"/>
      <c r="J74" s="1"/>
      <c r="K74" s="1"/>
      <c r="L74" s="1"/>
      <c r="M74" s="1"/>
      <c r="N74" s="1"/>
      <c r="O74" s="1"/>
      <c r="P74" s="1"/>
    </row>
    <row r="76" ht="12.75">
      <c r="G76" s="14" t="s">
        <v>428</v>
      </c>
    </row>
  </sheetData>
  <sheetProtection/>
  <mergeCells count="1">
    <mergeCell ref="B74:F74"/>
  </mergeCells>
  <printOptions/>
  <pageMargins left="0.7" right="0.7" top="0.75" bottom="0.75" header="0.3" footer="0.3"/>
  <pageSetup orientation="landscape" paperSize="9" scale="78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34.375" style="14" customWidth="1"/>
    <col min="2" max="2" width="13.125" style="14" customWidth="1"/>
    <col min="3" max="3" width="9.00390625" style="14" customWidth="1"/>
    <col min="4" max="4" width="8.75390625" style="14" customWidth="1"/>
    <col min="5" max="5" width="7.125" style="14" customWidth="1"/>
    <col min="6" max="6" width="7.25390625" style="14" customWidth="1"/>
    <col min="7" max="7" width="8.375" style="14" customWidth="1"/>
    <col min="8" max="8" width="9.125" style="14" customWidth="1"/>
    <col min="9" max="9" width="8.00390625" style="14" customWidth="1"/>
    <col min="10" max="16384" width="9.125" style="14" customWidth="1"/>
  </cols>
  <sheetData>
    <row r="1" spans="1:16" s="12" customFormat="1" ht="12.75">
      <c r="A1" s="2" t="s">
        <v>422</v>
      </c>
      <c r="B1" s="2">
        <v>2271.61</v>
      </c>
      <c r="C1" s="2"/>
      <c r="D1" s="2"/>
      <c r="E1" s="2"/>
      <c r="F1" s="2"/>
      <c r="G1" s="2"/>
      <c r="H1" s="2"/>
      <c r="I1" s="2"/>
      <c r="J1" s="2"/>
      <c r="K1" s="2" t="s">
        <v>222</v>
      </c>
      <c r="L1" s="2"/>
      <c r="M1" s="2"/>
      <c r="N1" s="2"/>
      <c r="O1" s="2"/>
      <c r="P1" s="2">
        <v>56687.9</v>
      </c>
    </row>
    <row r="2" spans="1:16" ht="12.75">
      <c r="A2" s="1" t="s">
        <v>421</v>
      </c>
      <c r="B2" s="1">
        <f>PRODUCT(B1,10.65)</f>
        <v>24192.646500000003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2" customFormat="1" ht="12.75">
      <c r="A3" s="2" t="s">
        <v>409</v>
      </c>
      <c r="B3" s="2" t="s">
        <v>410</v>
      </c>
      <c r="C3" s="2" t="s">
        <v>434</v>
      </c>
      <c r="D3" s="2" t="s">
        <v>438</v>
      </c>
      <c r="E3" s="2" t="s">
        <v>437</v>
      </c>
      <c r="F3" s="2" t="s">
        <v>436</v>
      </c>
      <c r="G3" s="2" t="s">
        <v>413</v>
      </c>
      <c r="H3" s="2" t="s">
        <v>414</v>
      </c>
      <c r="I3" s="2" t="s">
        <v>416</v>
      </c>
      <c r="J3" s="2" t="s">
        <v>417</v>
      </c>
      <c r="K3" s="2" t="s">
        <v>423</v>
      </c>
      <c r="L3" s="2" t="s">
        <v>424</v>
      </c>
      <c r="M3" s="2" t="s">
        <v>425</v>
      </c>
      <c r="N3" s="2" t="s">
        <v>426</v>
      </c>
      <c r="O3" s="2" t="s">
        <v>434</v>
      </c>
      <c r="P3" s="2" t="s">
        <v>427</v>
      </c>
    </row>
    <row r="4" spans="1:16" ht="12.75">
      <c r="A4" s="1" t="s">
        <v>411</v>
      </c>
      <c r="B4" s="1">
        <v>1.57</v>
      </c>
      <c r="C4" s="1">
        <v>3566.43</v>
      </c>
      <c r="D4" s="1">
        <v>3566.43</v>
      </c>
      <c r="E4" s="1">
        <f>B4*B1</f>
        <v>3566.4277</v>
      </c>
      <c r="F4" s="1">
        <f>B4*B1</f>
        <v>3566.4277</v>
      </c>
      <c r="G4" s="1">
        <f>B4*B1</f>
        <v>3566.4277</v>
      </c>
      <c r="H4" s="1">
        <v>3566.43</v>
      </c>
      <c r="I4" s="1">
        <v>3566.43</v>
      </c>
      <c r="J4" s="1">
        <v>3566.43</v>
      </c>
      <c r="K4" s="1"/>
      <c r="L4" s="1"/>
      <c r="M4" s="1"/>
      <c r="N4" s="1"/>
      <c r="O4" s="1"/>
      <c r="P4" s="1">
        <f aca="true" t="shared" si="0" ref="P4:P26">SUM(C4:O4)</f>
        <v>28531.433100000002</v>
      </c>
    </row>
    <row r="5" spans="1:16" ht="12.75">
      <c r="A5" s="1" t="s">
        <v>451</v>
      </c>
      <c r="B5" s="1">
        <v>1.6</v>
      </c>
      <c r="C5" s="1">
        <v>3634.58</v>
      </c>
      <c r="D5" s="1">
        <v>3634.58</v>
      </c>
      <c r="E5" s="1">
        <f>B5*B1</f>
        <v>3634.5760000000005</v>
      </c>
      <c r="F5" s="1">
        <f>B5*B1</f>
        <v>3634.5760000000005</v>
      </c>
      <c r="G5" s="1">
        <f>B5*B1</f>
        <v>3634.5760000000005</v>
      </c>
      <c r="H5" s="1">
        <v>3634.58</v>
      </c>
      <c r="I5" s="1">
        <v>3634.58</v>
      </c>
      <c r="J5" s="1">
        <v>3634.58</v>
      </c>
      <c r="K5" s="1"/>
      <c r="L5" s="1"/>
      <c r="M5" s="1"/>
      <c r="N5" s="1"/>
      <c r="O5" s="1"/>
      <c r="P5" s="1">
        <f t="shared" si="0"/>
        <v>29076.628000000004</v>
      </c>
    </row>
    <row r="6" spans="1:16" ht="12.75">
      <c r="A6" s="1" t="s">
        <v>412</v>
      </c>
      <c r="B6" s="1">
        <v>1.6</v>
      </c>
      <c r="C6" s="1">
        <v>3634.58</v>
      </c>
      <c r="D6" s="1">
        <v>3634.58</v>
      </c>
      <c r="E6" s="1">
        <f>B6*B1</f>
        <v>3634.5760000000005</v>
      </c>
      <c r="F6" s="1">
        <f>B6*B1</f>
        <v>3634.5760000000005</v>
      </c>
      <c r="G6" s="1">
        <f>B6*B1</f>
        <v>3634.5760000000005</v>
      </c>
      <c r="H6" s="1">
        <v>3634.58</v>
      </c>
      <c r="I6" s="1">
        <v>3634.58</v>
      </c>
      <c r="J6" s="1">
        <v>3634.58</v>
      </c>
      <c r="K6" s="1"/>
      <c r="L6" s="1"/>
      <c r="M6" s="1"/>
      <c r="N6" s="1"/>
      <c r="O6" s="1"/>
      <c r="P6" s="1">
        <f t="shared" si="0"/>
        <v>29076.628000000004</v>
      </c>
    </row>
    <row r="7" spans="1:16" ht="12.75">
      <c r="A7" s="1" t="s">
        <v>491</v>
      </c>
      <c r="B7" s="1">
        <v>0.44</v>
      </c>
      <c r="C7" s="1">
        <v>999.51</v>
      </c>
      <c r="D7" s="1">
        <v>999.51</v>
      </c>
      <c r="E7" s="1">
        <f>B7*B1</f>
        <v>999.5084</v>
      </c>
      <c r="F7" s="1">
        <f>B7*B1</f>
        <v>999.5084</v>
      </c>
      <c r="G7" s="1">
        <v>999.51</v>
      </c>
      <c r="H7" s="1">
        <v>999.51</v>
      </c>
      <c r="I7" s="1">
        <v>999.51</v>
      </c>
      <c r="J7" s="1">
        <v>999.51</v>
      </c>
      <c r="K7" s="1"/>
      <c r="L7" s="1"/>
      <c r="M7" s="1"/>
      <c r="N7" s="1"/>
      <c r="O7" s="1"/>
      <c r="P7" s="1">
        <f t="shared" si="0"/>
        <v>7996.076800000001</v>
      </c>
    </row>
    <row r="8" spans="1:16" ht="12.75">
      <c r="A8" s="1" t="s">
        <v>435</v>
      </c>
      <c r="B8" s="1">
        <v>0.66</v>
      </c>
      <c r="C8" s="1">
        <v>1499.26</v>
      </c>
      <c r="D8" s="1">
        <v>1499.26</v>
      </c>
      <c r="E8" s="1">
        <f>B8*B1</f>
        <v>1499.2626000000002</v>
      </c>
      <c r="F8" s="1">
        <f>B8*B1</f>
        <v>1499.2626000000002</v>
      </c>
      <c r="G8" s="1">
        <f>B8*B1</f>
        <v>1499.2626000000002</v>
      </c>
      <c r="H8" s="1">
        <v>1499.26</v>
      </c>
      <c r="I8" s="1">
        <v>1499.26</v>
      </c>
      <c r="J8" s="1">
        <v>1499.26</v>
      </c>
      <c r="K8" s="1"/>
      <c r="L8" s="1"/>
      <c r="M8" s="1"/>
      <c r="N8" s="1"/>
      <c r="O8" s="1"/>
      <c r="P8" s="1">
        <f t="shared" si="0"/>
        <v>11994.087800000001</v>
      </c>
    </row>
    <row r="9" spans="1:16" ht="12.75">
      <c r="A9" s="1" t="s">
        <v>429</v>
      </c>
      <c r="B9" s="1"/>
      <c r="C9" s="1">
        <v>104.5</v>
      </c>
      <c r="D9" s="1">
        <v>104.5</v>
      </c>
      <c r="E9" s="1">
        <v>104.5</v>
      </c>
      <c r="F9" s="1">
        <v>104.5</v>
      </c>
      <c r="G9" s="1">
        <v>104.5</v>
      </c>
      <c r="H9" s="1">
        <v>72.69</v>
      </c>
      <c r="I9" s="1">
        <v>329.38</v>
      </c>
      <c r="J9" s="1">
        <v>329.38</v>
      </c>
      <c r="K9" s="1"/>
      <c r="L9" s="1"/>
      <c r="M9" s="1"/>
      <c r="N9" s="1"/>
      <c r="O9" s="1"/>
      <c r="P9" s="1">
        <f t="shared" si="0"/>
        <v>1253.95</v>
      </c>
    </row>
    <row r="10" spans="1:16" ht="12.75">
      <c r="A10" s="3" t="s">
        <v>478</v>
      </c>
      <c r="B10" s="1"/>
      <c r="C10" s="1">
        <v>2712</v>
      </c>
      <c r="D10" s="1">
        <v>2712</v>
      </c>
      <c r="E10" s="1">
        <v>2712</v>
      </c>
      <c r="F10" s="1">
        <v>2712</v>
      </c>
      <c r="G10" s="1">
        <v>2712</v>
      </c>
      <c r="H10" s="1">
        <v>2712</v>
      </c>
      <c r="I10" s="1">
        <v>2712</v>
      </c>
      <c r="J10" s="1">
        <v>2712</v>
      </c>
      <c r="K10" s="1"/>
      <c r="L10" s="1"/>
      <c r="M10" s="1"/>
      <c r="N10" s="1"/>
      <c r="O10" s="1"/>
      <c r="P10" s="1">
        <f t="shared" si="0"/>
        <v>21696</v>
      </c>
    </row>
    <row r="11" spans="1:16" ht="12.75">
      <c r="A11" s="1" t="s">
        <v>263</v>
      </c>
      <c r="B11" s="1"/>
      <c r="C11" s="1">
        <v>500</v>
      </c>
      <c r="D11" s="1">
        <v>500</v>
      </c>
      <c r="E11" s="1">
        <v>500</v>
      </c>
      <c r="F11" s="1">
        <v>500</v>
      </c>
      <c r="G11" s="1">
        <v>500</v>
      </c>
      <c r="H11" s="1">
        <v>500</v>
      </c>
      <c r="I11" s="1">
        <v>500</v>
      </c>
      <c r="J11" s="1">
        <v>500</v>
      </c>
      <c r="K11" s="1"/>
      <c r="L11" s="1"/>
      <c r="M11" s="1"/>
      <c r="N11" s="1"/>
      <c r="O11" s="1"/>
      <c r="P11" s="1">
        <f t="shared" si="0"/>
        <v>4000</v>
      </c>
    </row>
    <row r="12" spans="1:16" ht="12.75">
      <c r="A12" s="1" t="s">
        <v>497</v>
      </c>
      <c r="B12" s="1"/>
      <c r="C12" s="1"/>
      <c r="D12" s="1"/>
      <c r="E12" s="1"/>
      <c r="F12" s="1"/>
      <c r="G12" s="1">
        <v>19182</v>
      </c>
      <c r="H12" s="1"/>
      <c r="I12" s="1"/>
      <c r="J12" s="1"/>
      <c r="K12" s="1"/>
      <c r="L12" s="1"/>
      <c r="M12" s="1"/>
      <c r="N12" s="1"/>
      <c r="O12" s="1"/>
      <c r="P12" s="1">
        <f t="shared" si="0"/>
        <v>19182</v>
      </c>
    </row>
    <row r="13" spans="1:16" ht="22.5">
      <c r="A13" s="3" t="s">
        <v>194</v>
      </c>
      <c r="B13" s="1"/>
      <c r="C13" s="1"/>
      <c r="D13" s="1"/>
      <c r="E13" s="1"/>
      <c r="F13" s="1">
        <v>207.08</v>
      </c>
      <c r="G13" s="1"/>
      <c r="H13" s="1"/>
      <c r="I13" s="1"/>
      <c r="J13" s="1"/>
      <c r="K13" s="1"/>
      <c r="L13" s="1"/>
      <c r="M13" s="1"/>
      <c r="N13" s="1"/>
      <c r="O13" s="1"/>
      <c r="P13" s="1">
        <f t="shared" si="0"/>
        <v>207.08</v>
      </c>
    </row>
    <row r="14" spans="1:16" ht="12.75">
      <c r="A14" s="3" t="s">
        <v>195</v>
      </c>
      <c r="B14" s="1"/>
      <c r="C14" s="1"/>
      <c r="D14" s="1"/>
      <c r="E14" s="1">
        <v>5826.13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si="0"/>
        <v>5826.13</v>
      </c>
    </row>
    <row r="15" spans="1:16" ht="22.5">
      <c r="A15" s="3" t="s">
        <v>196</v>
      </c>
      <c r="B15" s="1"/>
      <c r="C15" s="1"/>
      <c r="D15" s="1"/>
      <c r="E15" s="1">
        <v>1540.32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f t="shared" si="0"/>
        <v>1540.32</v>
      </c>
    </row>
    <row r="16" spans="1:16" ht="12.75">
      <c r="A16" s="3" t="s">
        <v>197</v>
      </c>
      <c r="B16" s="1"/>
      <c r="C16" s="1">
        <v>414.16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f t="shared" si="0"/>
        <v>414.16</v>
      </c>
    </row>
    <row r="17" spans="1:16" ht="12.75">
      <c r="A17" s="3" t="s">
        <v>198</v>
      </c>
      <c r="B17" s="1"/>
      <c r="C17" s="1">
        <v>828.32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si="0"/>
        <v>828.32</v>
      </c>
    </row>
    <row r="18" spans="1:16" ht="12.75">
      <c r="A18" s="3" t="s">
        <v>625</v>
      </c>
      <c r="B18" s="1"/>
      <c r="C18" s="1"/>
      <c r="D18" s="1"/>
      <c r="E18" s="1"/>
      <c r="F18" s="1"/>
      <c r="G18" s="1"/>
      <c r="H18" s="1">
        <v>414.16</v>
      </c>
      <c r="I18" s="1"/>
      <c r="J18" s="1"/>
      <c r="K18" s="1"/>
      <c r="L18" s="1"/>
      <c r="M18" s="1"/>
      <c r="N18" s="1"/>
      <c r="O18" s="1"/>
      <c r="P18" s="1">
        <v>414.16</v>
      </c>
    </row>
    <row r="19" spans="1:16" ht="12.75">
      <c r="A19" s="3" t="s">
        <v>28</v>
      </c>
      <c r="B19" s="1"/>
      <c r="C19" s="1"/>
      <c r="D19" s="1"/>
      <c r="E19" s="1"/>
      <c r="F19" s="1"/>
      <c r="G19" s="1"/>
      <c r="H19" s="1"/>
      <c r="I19" s="1"/>
      <c r="J19" s="1">
        <v>3739.79</v>
      </c>
      <c r="K19" s="1"/>
      <c r="L19" s="1"/>
      <c r="M19" s="1"/>
      <c r="N19" s="1"/>
      <c r="O19" s="1"/>
      <c r="P19" s="1">
        <v>3739.79</v>
      </c>
    </row>
    <row r="20" spans="1:16" ht="12.75">
      <c r="A20" s="3" t="s">
        <v>667</v>
      </c>
      <c r="B20" s="1"/>
      <c r="C20" s="1"/>
      <c r="D20" s="1"/>
      <c r="E20" s="1"/>
      <c r="F20" s="1">
        <v>1500</v>
      </c>
      <c r="G20" s="1"/>
      <c r="H20" s="1"/>
      <c r="I20" s="1"/>
      <c r="J20" s="1"/>
      <c r="K20" s="1"/>
      <c r="L20" s="1"/>
      <c r="M20" s="1"/>
      <c r="N20" s="1"/>
      <c r="O20" s="1"/>
      <c r="P20" s="1">
        <f>SUM(C20:O20)</f>
        <v>1500</v>
      </c>
    </row>
    <row r="21" spans="1:16" ht="12.75">
      <c r="A21" s="3" t="s">
        <v>104</v>
      </c>
      <c r="B21" s="1"/>
      <c r="C21" s="1"/>
      <c r="D21" s="1"/>
      <c r="E21" s="1"/>
      <c r="F21" s="1"/>
      <c r="G21" s="1"/>
      <c r="H21" s="1"/>
      <c r="I21" s="1">
        <v>2118.32</v>
      </c>
      <c r="J21" s="1"/>
      <c r="K21" s="1"/>
      <c r="L21" s="1"/>
      <c r="M21" s="1"/>
      <c r="N21" s="1"/>
      <c r="O21" s="1"/>
      <c r="P21" s="1">
        <v>2118.32</v>
      </c>
    </row>
    <row r="22" spans="1:16" ht="12.75">
      <c r="A22" s="3" t="s">
        <v>84</v>
      </c>
      <c r="B22" s="1"/>
      <c r="C22" s="1"/>
      <c r="D22" s="1"/>
      <c r="E22" s="1"/>
      <c r="F22" s="1"/>
      <c r="G22" s="1"/>
      <c r="H22" s="1"/>
      <c r="I22" s="1"/>
      <c r="J22" s="1">
        <v>3000</v>
      </c>
      <c r="K22" s="1"/>
      <c r="L22" s="1"/>
      <c r="M22" s="1"/>
      <c r="N22" s="1"/>
      <c r="O22" s="1"/>
      <c r="P22" s="1">
        <v>3000</v>
      </c>
    </row>
    <row r="23" spans="1:16" ht="18" customHeight="1">
      <c r="A23" s="3" t="s">
        <v>199</v>
      </c>
      <c r="B23" s="1"/>
      <c r="C23" s="1">
        <v>2631.64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>
        <f t="shared" si="0"/>
        <v>2631.64</v>
      </c>
    </row>
    <row r="24" spans="1:16" ht="12.75">
      <c r="A24" s="3" t="s">
        <v>200</v>
      </c>
      <c r="B24" s="1"/>
      <c r="C24" s="1">
        <v>2902.14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f t="shared" si="0"/>
        <v>2902.14</v>
      </c>
    </row>
    <row r="25" spans="1:16" ht="12.75">
      <c r="A25" s="3" t="s">
        <v>200</v>
      </c>
      <c r="B25" s="1"/>
      <c r="C25" s="1">
        <v>3345.09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>
        <f t="shared" si="0"/>
        <v>3345.09</v>
      </c>
    </row>
    <row r="26" spans="1:16" ht="12.75">
      <c r="A26" s="3" t="s">
        <v>201</v>
      </c>
      <c r="B26" s="1"/>
      <c r="C26" s="1">
        <v>36967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>
        <f t="shared" si="0"/>
        <v>36967</v>
      </c>
    </row>
    <row r="27" spans="1:16" ht="12.75">
      <c r="A27" s="3" t="s">
        <v>0</v>
      </c>
      <c r="B27" s="1"/>
      <c r="C27" s="1"/>
      <c r="D27" s="1"/>
      <c r="E27" s="1"/>
      <c r="F27" s="1"/>
      <c r="G27" s="1"/>
      <c r="H27" s="1">
        <v>1500</v>
      </c>
      <c r="I27" s="1"/>
      <c r="J27" s="1"/>
      <c r="K27" s="1"/>
      <c r="L27" s="1"/>
      <c r="M27" s="1"/>
      <c r="N27" s="1"/>
      <c r="O27" s="1"/>
      <c r="P27" s="1">
        <v>1500</v>
      </c>
    </row>
    <row r="28" spans="1:16" ht="12.75">
      <c r="A28" s="1" t="s">
        <v>415</v>
      </c>
      <c r="B28" s="1"/>
      <c r="C28" s="1">
        <f>SUM(C4:C26)</f>
        <v>63739.21</v>
      </c>
      <c r="D28" s="1">
        <f>SUM(D4:D26)</f>
        <v>16650.86</v>
      </c>
      <c r="E28" s="1">
        <f aca="true" t="shared" si="1" ref="E28:O28">SUM(E4:E26)</f>
        <v>24017.300700000003</v>
      </c>
      <c r="F28" s="1">
        <f t="shared" si="1"/>
        <v>18357.930700000004</v>
      </c>
      <c r="G28" s="1">
        <f t="shared" si="1"/>
        <v>35832.8523</v>
      </c>
      <c r="H28" s="1">
        <f>SUM(H4:H27)</f>
        <v>18533.210000000003</v>
      </c>
      <c r="I28" s="1">
        <f t="shared" si="1"/>
        <v>18994.059999999998</v>
      </c>
      <c r="J28" s="1">
        <f t="shared" si="1"/>
        <v>23615.53</v>
      </c>
      <c r="K28" s="1">
        <f t="shared" si="1"/>
        <v>0</v>
      </c>
      <c r="L28" s="1">
        <f t="shared" si="1"/>
        <v>0</v>
      </c>
      <c r="M28" s="1">
        <f t="shared" si="1"/>
        <v>0</v>
      </c>
      <c r="N28" s="1">
        <f t="shared" si="1"/>
        <v>0</v>
      </c>
      <c r="O28" s="1">
        <f t="shared" si="1"/>
        <v>0</v>
      </c>
      <c r="P28" s="1">
        <f>SUM(C28:O28)</f>
        <v>219740.9537</v>
      </c>
    </row>
    <row r="29" spans="1:16" ht="12.75">
      <c r="A29" s="1" t="s">
        <v>419</v>
      </c>
      <c r="B29" s="1"/>
      <c r="C29" s="1">
        <v>20742.33</v>
      </c>
      <c r="D29" s="1">
        <v>26821.52</v>
      </c>
      <c r="E29" s="1">
        <v>27556.25</v>
      </c>
      <c r="F29" s="1">
        <v>36422.31</v>
      </c>
      <c r="G29" s="1">
        <v>27049.58</v>
      </c>
      <c r="H29" s="1">
        <v>30693.45</v>
      </c>
      <c r="I29" s="1">
        <v>38288.94</v>
      </c>
      <c r="J29" s="1">
        <v>31143.19</v>
      </c>
      <c r="K29" s="1"/>
      <c r="L29" s="1"/>
      <c r="M29" s="1"/>
      <c r="N29" s="1"/>
      <c r="O29" s="1"/>
      <c r="P29" s="1">
        <f>SUM(C29:O29)</f>
        <v>238717.57</v>
      </c>
    </row>
    <row r="30" spans="1:16" s="26" customFormat="1" ht="12.75">
      <c r="A30" s="1" t="s">
        <v>526</v>
      </c>
      <c r="B30" s="1"/>
      <c r="C30" s="1"/>
      <c r="D30" s="1"/>
      <c r="E30" s="1">
        <v>0</v>
      </c>
      <c r="F30" s="1">
        <v>1500</v>
      </c>
      <c r="G30" s="1">
        <v>0</v>
      </c>
      <c r="H30" s="1">
        <v>0</v>
      </c>
      <c r="I30" s="1">
        <v>0</v>
      </c>
      <c r="J30" s="1"/>
      <c r="K30" s="1"/>
      <c r="L30" s="1"/>
      <c r="M30" s="1"/>
      <c r="N30" s="1"/>
      <c r="O30" s="1"/>
      <c r="P30" s="1">
        <f>SUM(E30:O30)</f>
        <v>1500</v>
      </c>
    </row>
    <row r="31" spans="1:16" s="12" customFormat="1" ht="12.75">
      <c r="A31" s="2" t="s">
        <v>420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>
        <f>SUM(P1+P29+P30+P32+P33-P28)</f>
        <v>84111.01630000002</v>
      </c>
    </row>
    <row r="32" spans="1:16" ht="12.75">
      <c r="A32" s="1" t="s">
        <v>603</v>
      </c>
      <c r="B32" s="1"/>
      <c r="C32" s="1"/>
      <c r="D32" s="1"/>
      <c r="E32" s="1"/>
      <c r="F32" s="1"/>
      <c r="G32" s="1">
        <v>378</v>
      </c>
      <c r="H32" s="1">
        <v>400</v>
      </c>
      <c r="I32" s="1"/>
      <c r="J32" s="1">
        <v>240</v>
      </c>
      <c r="K32" s="1"/>
      <c r="L32" s="1"/>
      <c r="M32" s="1"/>
      <c r="N32" s="1"/>
      <c r="O32" s="1"/>
      <c r="P32" s="1">
        <f>SUM(G32:O32)</f>
        <v>1018</v>
      </c>
    </row>
    <row r="33" spans="1:16" ht="12.75">
      <c r="A33" s="1" t="s">
        <v>527</v>
      </c>
      <c r="B33" s="46"/>
      <c r="C33" s="47"/>
      <c r="D33" s="47"/>
      <c r="E33" s="47"/>
      <c r="F33" s="48"/>
      <c r="G33" s="1">
        <f>3675+1513.5</f>
        <v>5188.5</v>
      </c>
      <c r="H33" s="1">
        <v>600</v>
      </c>
      <c r="I33" s="1"/>
      <c r="J33" s="1">
        <v>140</v>
      </c>
      <c r="K33" s="1"/>
      <c r="L33" s="1"/>
      <c r="M33" s="1"/>
      <c r="N33" s="1"/>
      <c r="O33" s="1"/>
      <c r="P33" s="1">
        <f>SUM(G33:O33)</f>
        <v>5928.5</v>
      </c>
    </row>
    <row r="34" spans="1:16" ht="12.75">
      <c r="A34" s="1"/>
      <c r="B34" s="62" t="s">
        <v>481</v>
      </c>
      <c r="C34" s="63"/>
      <c r="D34" s="63"/>
      <c r="E34" s="63"/>
      <c r="F34" s="64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7" ht="12.75">
      <c r="G37" s="14" t="s">
        <v>428</v>
      </c>
    </row>
  </sheetData>
  <sheetProtection/>
  <mergeCells count="1">
    <mergeCell ref="B34:F34"/>
  </mergeCells>
  <printOptions/>
  <pageMargins left="0.75" right="0.75" top="1" bottom="1" header="0.5" footer="0.5"/>
  <pageSetup orientation="landscape" paperSize="9" scale="7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pane xSplit="10" ySplit="11" topLeftCell="K36" activePane="bottomRight" state="frozen"/>
      <selection pane="topLeft" activeCell="A1" sqref="A1"/>
      <selection pane="topRight" activeCell="K1" sqref="K1"/>
      <selection pane="bottomLeft" activeCell="A12" sqref="A12"/>
      <selection pane="bottomRight" activeCell="I37" sqref="I37"/>
    </sheetView>
  </sheetViews>
  <sheetFormatPr defaultColWidth="9.00390625" defaultRowHeight="12.75"/>
  <cols>
    <col min="1" max="1" width="34.375" style="14" customWidth="1"/>
    <col min="2" max="2" width="13.125" style="14" customWidth="1"/>
    <col min="3" max="3" width="7.25390625" style="14" customWidth="1"/>
    <col min="4" max="4" width="8.75390625" style="14" customWidth="1"/>
    <col min="5" max="5" width="7.125" style="14" customWidth="1"/>
    <col min="6" max="6" width="7.25390625" style="14" customWidth="1"/>
    <col min="7" max="7" width="8.375" style="14" customWidth="1"/>
    <col min="8" max="8" width="9.125" style="14" customWidth="1"/>
    <col min="9" max="9" width="7.25390625" style="14" customWidth="1"/>
    <col min="10" max="16384" width="9.125" style="14" customWidth="1"/>
  </cols>
  <sheetData>
    <row r="1" spans="1:16" s="12" customFormat="1" ht="12.75">
      <c r="A1" s="2" t="s">
        <v>422</v>
      </c>
      <c r="B1" s="2">
        <v>2616.6</v>
      </c>
      <c r="C1" s="2"/>
      <c r="D1" s="2"/>
      <c r="E1" s="2"/>
      <c r="F1" s="2"/>
      <c r="G1" s="2"/>
      <c r="H1" s="2"/>
      <c r="I1" s="2"/>
      <c r="J1" s="2"/>
      <c r="K1" s="2" t="s">
        <v>394</v>
      </c>
      <c r="L1" s="2"/>
      <c r="M1" s="2"/>
      <c r="N1" s="2"/>
      <c r="O1" s="2"/>
      <c r="P1" s="2">
        <v>-13441.29</v>
      </c>
    </row>
    <row r="2" spans="1:16" ht="12.75">
      <c r="A2" s="1" t="s">
        <v>421</v>
      </c>
      <c r="B2" s="1">
        <f>PRODUCT(B1,10.65)</f>
        <v>27866.79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2" customFormat="1" ht="12.75">
      <c r="A3" s="2" t="s">
        <v>409</v>
      </c>
      <c r="B3" s="2" t="s">
        <v>410</v>
      </c>
      <c r="C3" s="2" t="s">
        <v>434</v>
      </c>
      <c r="D3" s="2" t="s">
        <v>438</v>
      </c>
      <c r="E3" s="2" t="s">
        <v>437</v>
      </c>
      <c r="F3" s="2" t="s">
        <v>436</v>
      </c>
      <c r="G3" s="2" t="s">
        <v>413</v>
      </c>
      <c r="H3" s="2" t="s">
        <v>414</v>
      </c>
      <c r="I3" s="2" t="s">
        <v>416</v>
      </c>
      <c r="J3" s="2" t="s">
        <v>417</v>
      </c>
      <c r="K3" s="2" t="s">
        <v>423</v>
      </c>
      <c r="L3" s="2" t="s">
        <v>424</v>
      </c>
      <c r="M3" s="2" t="s">
        <v>425</v>
      </c>
      <c r="N3" s="2" t="s">
        <v>426</v>
      </c>
      <c r="O3" s="2" t="s">
        <v>434</v>
      </c>
      <c r="P3" s="2" t="s">
        <v>427</v>
      </c>
    </row>
    <row r="4" spans="1:16" ht="12.75">
      <c r="A4" s="1" t="s">
        <v>411</v>
      </c>
      <c r="B4" s="1">
        <v>1.57</v>
      </c>
      <c r="C4" s="1">
        <v>4108.06</v>
      </c>
      <c r="D4" s="1">
        <v>4108.06</v>
      </c>
      <c r="E4" s="1">
        <v>4108.06</v>
      </c>
      <c r="F4" s="1">
        <v>4108.06</v>
      </c>
      <c r="G4" s="1">
        <f>B4*B1</f>
        <v>4108.062</v>
      </c>
      <c r="H4" s="1">
        <v>4108.06</v>
      </c>
      <c r="I4" s="1">
        <v>4108.06</v>
      </c>
      <c r="J4" s="1">
        <v>4108.06</v>
      </c>
      <c r="K4" s="1"/>
      <c r="L4" s="1"/>
      <c r="M4" s="1"/>
      <c r="N4" s="1"/>
      <c r="O4" s="1"/>
      <c r="P4" s="1">
        <f aca="true" t="shared" si="0" ref="P4:P43">SUM(C4:O4)</f>
        <v>32864.482</v>
      </c>
    </row>
    <row r="5" spans="1:16" ht="12.75">
      <c r="A5" s="1" t="s">
        <v>451</v>
      </c>
      <c r="B5" s="1">
        <v>1.6</v>
      </c>
      <c r="C5" s="1">
        <v>4186.56</v>
      </c>
      <c r="D5" s="1">
        <v>4186.56</v>
      </c>
      <c r="E5" s="1">
        <v>4186.56</v>
      </c>
      <c r="F5" s="1">
        <v>4186.56</v>
      </c>
      <c r="G5" s="1">
        <f>B5*B1</f>
        <v>4186.56</v>
      </c>
      <c r="H5" s="1">
        <v>4186.56</v>
      </c>
      <c r="I5" s="1">
        <v>4186.56</v>
      </c>
      <c r="J5" s="1">
        <v>4186.56</v>
      </c>
      <c r="K5" s="1"/>
      <c r="L5" s="1"/>
      <c r="M5" s="1"/>
      <c r="N5" s="1"/>
      <c r="O5" s="1"/>
      <c r="P5" s="1">
        <f t="shared" si="0"/>
        <v>33492.48</v>
      </c>
    </row>
    <row r="6" spans="1:16" ht="12.75">
      <c r="A6" s="1" t="s">
        <v>412</v>
      </c>
      <c r="B6" s="1">
        <v>1.6</v>
      </c>
      <c r="C6" s="1">
        <v>4186.56</v>
      </c>
      <c r="D6" s="1">
        <v>4186.56</v>
      </c>
      <c r="E6" s="1">
        <v>4186.56</v>
      </c>
      <c r="F6" s="1">
        <v>4186.56</v>
      </c>
      <c r="G6" s="1">
        <f>B6*B1</f>
        <v>4186.56</v>
      </c>
      <c r="H6" s="1">
        <v>4186.56</v>
      </c>
      <c r="I6" s="1">
        <v>4186.56</v>
      </c>
      <c r="J6" s="1">
        <v>4186.56</v>
      </c>
      <c r="K6" s="1"/>
      <c r="L6" s="1"/>
      <c r="M6" s="1"/>
      <c r="N6" s="1"/>
      <c r="O6" s="1"/>
      <c r="P6" s="1">
        <f t="shared" si="0"/>
        <v>33492.48</v>
      </c>
    </row>
    <row r="7" spans="1:16" ht="12.75">
      <c r="A7" s="1" t="s">
        <v>491</v>
      </c>
      <c r="B7" s="1">
        <v>0.44</v>
      </c>
      <c r="C7" s="1">
        <v>1151.3</v>
      </c>
      <c r="D7" s="1">
        <v>1151.3</v>
      </c>
      <c r="E7" s="1">
        <v>1151.3</v>
      </c>
      <c r="F7" s="1">
        <v>1151.3</v>
      </c>
      <c r="G7" s="1">
        <f>B7*B1</f>
        <v>1151.3039999999999</v>
      </c>
      <c r="H7" s="1">
        <v>1151.3</v>
      </c>
      <c r="I7" s="1">
        <v>1151.3</v>
      </c>
      <c r="J7" s="1">
        <v>1151.3</v>
      </c>
      <c r="K7" s="1"/>
      <c r="L7" s="1"/>
      <c r="M7" s="1"/>
      <c r="N7" s="1"/>
      <c r="O7" s="1"/>
      <c r="P7" s="1">
        <f t="shared" si="0"/>
        <v>9210.404</v>
      </c>
    </row>
    <row r="8" spans="1:16" ht="12.75">
      <c r="A8" s="1" t="s">
        <v>435</v>
      </c>
      <c r="B8" s="1">
        <v>0.66</v>
      </c>
      <c r="C8" s="1">
        <v>1726.96</v>
      </c>
      <c r="D8" s="1">
        <v>1726.96</v>
      </c>
      <c r="E8" s="1">
        <v>1726.96</v>
      </c>
      <c r="F8" s="1">
        <v>1726.96</v>
      </c>
      <c r="G8" s="1">
        <f>B8*B1</f>
        <v>1726.9560000000001</v>
      </c>
      <c r="H8" s="1">
        <v>1726.96</v>
      </c>
      <c r="I8" s="1">
        <v>1726.96</v>
      </c>
      <c r="J8" s="1">
        <v>1726.96</v>
      </c>
      <c r="K8" s="1"/>
      <c r="L8" s="1"/>
      <c r="M8" s="1"/>
      <c r="N8" s="1"/>
      <c r="O8" s="1"/>
      <c r="P8" s="1">
        <f t="shared" si="0"/>
        <v>13815.676</v>
      </c>
    </row>
    <row r="9" spans="1:16" ht="12.75">
      <c r="A9" s="1" t="s">
        <v>266</v>
      </c>
      <c r="B9" s="1"/>
      <c r="C9" s="1">
        <v>2712</v>
      </c>
      <c r="D9" s="1">
        <v>2712</v>
      </c>
      <c r="E9" s="1">
        <v>2712</v>
      </c>
      <c r="F9" s="1">
        <v>2712</v>
      </c>
      <c r="G9" s="1">
        <v>2712</v>
      </c>
      <c r="H9" s="1">
        <v>2712</v>
      </c>
      <c r="I9" s="1">
        <v>2712</v>
      </c>
      <c r="J9" s="1">
        <v>2712</v>
      </c>
      <c r="K9" s="1"/>
      <c r="L9" s="1"/>
      <c r="M9" s="1"/>
      <c r="N9" s="1"/>
      <c r="O9" s="1"/>
      <c r="P9" s="1">
        <f t="shared" si="0"/>
        <v>21696</v>
      </c>
    </row>
    <row r="10" spans="1:16" ht="12.75">
      <c r="A10" s="1" t="s">
        <v>265</v>
      </c>
      <c r="B10" s="1"/>
      <c r="C10" s="1">
        <v>2712</v>
      </c>
      <c r="D10" s="1">
        <v>2712</v>
      </c>
      <c r="E10" s="1">
        <v>2712</v>
      </c>
      <c r="F10" s="1">
        <v>2712</v>
      </c>
      <c r="G10" s="1">
        <v>2712</v>
      </c>
      <c r="H10" s="1">
        <v>2712</v>
      </c>
      <c r="I10" s="1">
        <v>2712</v>
      </c>
      <c r="J10" s="1">
        <v>2712</v>
      </c>
      <c r="K10" s="1"/>
      <c r="L10" s="1"/>
      <c r="M10" s="1"/>
      <c r="N10" s="1"/>
      <c r="O10" s="1"/>
      <c r="P10" s="1">
        <f t="shared" si="0"/>
        <v>21696</v>
      </c>
    </row>
    <row r="11" spans="1:16" ht="12.75">
      <c r="A11" s="1" t="s">
        <v>263</v>
      </c>
      <c r="B11" s="1"/>
      <c r="C11" s="1">
        <v>500</v>
      </c>
      <c r="D11" s="1">
        <v>500</v>
      </c>
      <c r="E11" s="1">
        <v>500</v>
      </c>
      <c r="F11" s="1">
        <v>500</v>
      </c>
      <c r="G11" s="1"/>
      <c r="H11" s="1"/>
      <c r="I11" s="1"/>
      <c r="J11" s="1"/>
      <c r="K11" s="1"/>
      <c r="L11" s="1"/>
      <c r="M11" s="1"/>
      <c r="N11" s="1"/>
      <c r="O11" s="1"/>
      <c r="P11" s="1">
        <f t="shared" si="0"/>
        <v>2000</v>
      </c>
    </row>
    <row r="12" spans="1:16" ht="12.75">
      <c r="A12" s="3" t="s">
        <v>429</v>
      </c>
      <c r="B12" s="1"/>
      <c r="C12" s="1">
        <v>120.36</v>
      </c>
      <c r="D12" s="1">
        <v>120.36</v>
      </c>
      <c r="E12" s="1">
        <v>120.36</v>
      </c>
      <c r="F12" s="1">
        <v>120.36</v>
      </c>
      <c r="G12" s="1">
        <v>120.36</v>
      </c>
      <c r="H12" s="1">
        <v>83.73</v>
      </c>
      <c r="I12" s="1">
        <v>379.41</v>
      </c>
      <c r="J12" s="1">
        <v>379.41</v>
      </c>
      <c r="K12" s="1"/>
      <c r="L12" s="1"/>
      <c r="M12" s="1"/>
      <c r="N12" s="1"/>
      <c r="O12" s="1"/>
      <c r="P12" s="1">
        <f t="shared" si="0"/>
        <v>1444.3500000000001</v>
      </c>
    </row>
    <row r="13" spans="1:16" ht="12.75">
      <c r="A13" s="3" t="s">
        <v>226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 t="shared" si="0"/>
        <v>0</v>
      </c>
    </row>
    <row r="14" spans="1:16" ht="12.75">
      <c r="A14" s="1" t="s">
        <v>524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si="0"/>
        <v>0</v>
      </c>
    </row>
    <row r="15" spans="1:16" ht="12.75">
      <c r="A15" s="3" t="s">
        <v>490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f t="shared" si="0"/>
        <v>0</v>
      </c>
    </row>
    <row r="16" spans="1:16" ht="12.75">
      <c r="A16" s="3" t="s">
        <v>492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f t="shared" si="0"/>
        <v>0</v>
      </c>
    </row>
    <row r="17" spans="1:16" ht="12.75">
      <c r="A17" s="3" t="s">
        <v>494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si="0"/>
        <v>0</v>
      </c>
    </row>
    <row r="18" spans="1:16" ht="12.75">
      <c r="A18" s="3" t="s">
        <v>202</v>
      </c>
      <c r="B18" s="1"/>
      <c r="C18" s="1"/>
      <c r="D18" s="1"/>
      <c r="E18" s="1"/>
      <c r="F18" s="1">
        <v>240</v>
      </c>
      <c r="G18" s="1"/>
      <c r="H18" s="1"/>
      <c r="I18" s="1"/>
      <c r="J18" s="1"/>
      <c r="K18" s="1"/>
      <c r="L18" s="1"/>
      <c r="M18" s="1"/>
      <c r="N18" s="1"/>
      <c r="O18" s="1"/>
      <c r="P18" s="1">
        <f t="shared" si="0"/>
        <v>240</v>
      </c>
    </row>
    <row r="19" spans="1:16" ht="12.75">
      <c r="A19" s="3" t="s">
        <v>203</v>
      </c>
      <c r="B19" s="1"/>
      <c r="C19" s="1"/>
      <c r="D19" s="1"/>
      <c r="E19" s="1">
        <v>414.16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f t="shared" si="0"/>
        <v>414.16</v>
      </c>
    </row>
    <row r="20" spans="1:16" ht="33.75">
      <c r="A20" s="3" t="s">
        <v>204</v>
      </c>
      <c r="B20" s="1"/>
      <c r="C20" s="1"/>
      <c r="D20" s="1">
        <v>828.32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 t="shared" si="0"/>
        <v>828.32</v>
      </c>
    </row>
    <row r="21" spans="1:16" ht="12.75">
      <c r="A21" s="3" t="s">
        <v>205</v>
      </c>
      <c r="B21" s="1"/>
      <c r="C21" s="1"/>
      <c r="D21" s="1">
        <v>2777.96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f t="shared" si="0"/>
        <v>2777.96</v>
      </c>
    </row>
    <row r="22" spans="1:16" ht="22.5">
      <c r="A22" s="3" t="s">
        <v>206</v>
      </c>
      <c r="B22" s="1"/>
      <c r="C22" s="1"/>
      <c r="D22" s="1">
        <v>828.32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f t="shared" si="0"/>
        <v>828.32</v>
      </c>
    </row>
    <row r="23" spans="1:16" ht="12.75">
      <c r="A23" s="3" t="s">
        <v>207</v>
      </c>
      <c r="B23" s="1"/>
      <c r="C23" s="1"/>
      <c r="D23" s="1">
        <v>207.08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>
        <f t="shared" si="0"/>
        <v>207.08</v>
      </c>
    </row>
    <row r="24" spans="1:16" ht="22.5">
      <c r="A24" s="3" t="s">
        <v>208</v>
      </c>
      <c r="B24" s="1"/>
      <c r="C24" s="1"/>
      <c r="D24" s="1">
        <v>20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f t="shared" si="0"/>
        <v>20</v>
      </c>
    </row>
    <row r="25" spans="1:16" ht="22.5">
      <c r="A25" s="3" t="s">
        <v>72</v>
      </c>
      <c r="B25" s="1"/>
      <c r="C25" s="1"/>
      <c r="D25" s="1"/>
      <c r="E25" s="1"/>
      <c r="F25" s="1"/>
      <c r="G25" s="1"/>
      <c r="H25" s="1"/>
      <c r="I25" s="1">
        <v>137.94</v>
      </c>
      <c r="J25" s="1"/>
      <c r="K25" s="1"/>
      <c r="L25" s="1"/>
      <c r="M25" s="1"/>
      <c r="N25" s="1"/>
      <c r="O25" s="1"/>
      <c r="P25" s="1">
        <v>137.94</v>
      </c>
    </row>
    <row r="26" spans="1:16" ht="22.5">
      <c r="A26" s="3" t="s">
        <v>790</v>
      </c>
      <c r="B26" s="1"/>
      <c r="C26" s="1"/>
      <c r="D26" s="1"/>
      <c r="E26" s="1"/>
      <c r="F26" s="1"/>
      <c r="G26" s="1"/>
      <c r="H26" s="1">
        <v>34456.96</v>
      </c>
      <c r="I26" s="1"/>
      <c r="J26" s="1"/>
      <c r="K26" s="1"/>
      <c r="L26" s="1"/>
      <c r="M26" s="1"/>
      <c r="N26" s="1"/>
      <c r="O26" s="1"/>
      <c r="P26" s="1">
        <v>34456.96</v>
      </c>
    </row>
    <row r="27" spans="1:16" ht="22.5">
      <c r="A27" s="3" t="s">
        <v>209</v>
      </c>
      <c r="B27" s="1"/>
      <c r="C27" s="1">
        <v>2576.64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>
        <f t="shared" si="0"/>
        <v>2576.64</v>
      </c>
    </row>
    <row r="28" spans="1:16" ht="12.75">
      <c r="A28" s="3" t="s">
        <v>497</v>
      </c>
      <c r="B28" s="1"/>
      <c r="C28" s="1"/>
      <c r="D28" s="1"/>
      <c r="E28" s="1"/>
      <c r="F28" s="1"/>
      <c r="G28" s="1"/>
      <c r="H28" s="1">
        <v>13304.08</v>
      </c>
      <c r="I28" s="1"/>
      <c r="J28" s="1"/>
      <c r="K28" s="1"/>
      <c r="L28" s="1"/>
      <c r="M28" s="1"/>
      <c r="N28" s="1"/>
      <c r="O28" s="1"/>
      <c r="P28" s="1">
        <f t="shared" si="0"/>
        <v>13304.08</v>
      </c>
    </row>
    <row r="29" spans="1:16" ht="12.75">
      <c r="A29" s="3" t="s">
        <v>609</v>
      </c>
      <c r="B29" s="1"/>
      <c r="C29" s="1"/>
      <c r="D29" s="1"/>
      <c r="E29" s="1"/>
      <c r="F29" s="1"/>
      <c r="G29" s="1">
        <v>414.16</v>
      </c>
      <c r="H29" s="1"/>
      <c r="I29" s="1"/>
      <c r="J29" s="1"/>
      <c r="K29" s="1"/>
      <c r="L29" s="1"/>
      <c r="M29" s="1"/>
      <c r="N29" s="1"/>
      <c r="O29" s="1"/>
      <c r="P29" s="1">
        <f t="shared" si="0"/>
        <v>414.16</v>
      </c>
    </row>
    <row r="30" spans="1:16" ht="12.75">
      <c r="A30" s="3" t="s">
        <v>712</v>
      </c>
      <c r="B30" s="1"/>
      <c r="C30" s="1"/>
      <c r="D30" s="1"/>
      <c r="E30" s="1"/>
      <c r="F30" s="1">
        <v>4481.64</v>
      </c>
      <c r="G30" s="1"/>
      <c r="H30" s="1"/>
      <c r="I30" s="1"/>
      <c r="J30" s="1"/>
      <c r="K30" s="1"/>
      <c r="L30" s="1"/>
      <c r="M30" s="1"/>
      <c r="N30" s="1"/>
      <c r="O30" s="1"/>
      <c r="P30" s="1">
        <f>SUM(C30:O30)</f>
        <v>4481.64</v>
      </c>
    </row>
    <row r="31" spans="1:16" ht="12.75">
      <c r="A31" s="3" t="s">
        <v>673</v>
      </c>
      <c r="B31" s="1"/>
      <c r="C31" s="1"/>
      <c r="D31" s="1"/>
      <c r="E31" s="1"/>
      <c r="F31" s="1">
        <v>3136</v>
      </c>
      <c r="G31" s="1"/>
      <c r="H31" s="1"/>
      <c r="I31" s="1"/>
      <c r="J31" s="1"/>
      <c r="K31" s="1"/>
      <c r="L31" s="1"/>
      <c r="M31" s="1"/>
      <c r="N31" s="1"/>
      <c r="O31" s="1"/>
      <c r="P31" s="1">
        <f t="shared" si="0"/>
        <v>3136</v>
      </c>
    </row>
    <row r="32" spans="1:16" ht="12.75">
      <c r="A32" s="3" t="s">
        <v>71</v>
      </c>
      <c r="B32" s="1"/>
      <c r="C32" s="1"/>
      <c r="D32" s="1"/>
      <c r="E32" s="1"/>
      <c r="F32" s="1"/>
      <c r="G32" s="1"/>
      <c r="H32" s="1"/>
      <c r="I32" s="1">
        <v>155.14</v>
      </c>
      <c r="J32" s="1"/>
      <c r="K32" s="1"/>
      <c r="L32" s="1"/>
      <c r="M32" s="1"/>
      <c r="N32" s="1"/>
      <c r="O32" s="1"/>
      <c r="P32" s="1">
        <v>155.14</v>
      </c>
    </row>
    <row r="33" spans="1:16" ht="12.75">
      <c r="A33" s="3" t="s">
        <v>640</v>
      </c>
      <c r="B33" s="1"/>
      <c r="C33" s="1"/>
      <c r="D33" s="1"/>
      <c r="E33" s="1"/>
      <c r="F33" s="1"/>
      <c r="G33" s="1">
        <v>60.8</v>
      </c>
      <c r="H33" s="1"/>
      <c r="I33" s="1"/>
      <c r="J33" s="1"/>
      <c r="K33" s="1"/>
      <c r="L33" s="1"/>
      <c r="M33" s="1"/>
      <c r="N33" s="1"/>
      <c r="O33" s="1"/>
      <c r="P33" s="1">
        <f aca="true" t="shared" si="1" ref="P33:P42">SUM(C33:O33)</f>
        <v>60.8</v>
      </c>
    </row>
    <row r="34" spans="1:16" ht="33.75">
      <c r="A34" s="3" t="s">
        <v>62</v>
      </c>
      <c r="B34" s="1"/>
      <c r="C34" s="1"/>
      <c r="D34" s="1"/>
      <c r="E34" s="1"/>
      <c r="F34" s="1"/>
      <c r="G34" s="1"/>
      <c r="H34" s="1"/>
      <c r="I34" s="1">
        <v>33406.21</v>
      </c>
      <c r="J34" s="1"/>
      <c r="K34" s="1"/>
      <c r="L34" s="1"/>
      <c r="M34" s="1"/>
      <c r="N34" s="1"/>
      <c r="O34" s="1"/>
      <c r="P34" s="1">
        <v>33406.21</v>
      </c>
    </row>
    <row r="35" spans="1:16" ht="33.75">
      <c r="A35" s="3" t="s">
        <v>754</v>
      </c>
      <c r="B35" s="1"/>
      <c r="C35" s="1"/>
      <c r="D35" s="1"/>
      <c r="E35" s="1"/>
      <c r="F35" s="1"/>
      <c r="G35" s="1"/>
      <c r="H35" s="1">
        <v>1041.32</v>
      </c>
      <c r="I35" s="1"/>
      <c r="J35" s="1"/>
      <c r="K35" s="1"/>
      <c r="L35" s="1"/>
      <c r="M35" s="1"/>
      <c r="N35" s="1"/>
      <c r="O35" s="1"/>
      <c r="P35" s="1">
        <f t="shared" si="1"/>
        <v>1041.32</v>
      </c>
    </row>
    <row r="36" spans="1:16" ht="22.5">
      <c r="A36" s="3" t="s">
        <v>54</v>
      </c>
      <c r="B36" s="1"/>
      <c r="C36" s="1"/>
      <c r="D36" s="1"/>
      <c r="E36" s="1"/>
      <c r="F36" s="1"/>
      <c r="G36" s="1"/>
      <c r="H36" s="1"/>
      <c r="I36" s="1"/>
      <c r="J36" s="1">
        <v>2054.64</v>
      </c>
      <c r="K36" s="1"/>
      <c r="L36" s="1"/>
      <c r="M36" s="1"/>
      <c r="N36" s="1"/>
      <c r="O36" s="1"/>
      <c r="P36" s="1">
        <v>2054.64</v>
      </c>
    </row>
    <row r="37" spans="1:16" ht="12.75">
      <c r="A37" s="3" t="s">
        <v>103</v>
      </c>
      <c r="B37" s="1"/>
      <c r="C37" s="1"/>
      <c r="D37" s="1"/>
      <c r="E37" s="1"/>
      <c r="F37" s="1"/>
      <c r="G37" s="1"/>
      <c r="H37" s="1"/>
      <c r="I37" s="1">
        <v>2977.27</v>
      </c>
      <c r="J37" s="1"/>
      <c r="K37" s="1"/>
      <c r="L37" s="1"/>
      <c r="M37" s="1"/>
      <c r="N37" s="1"/>
      <c r="O37" s="1"/>
      <c r="P37" s="1">
        <v>2977.27</v>
      </c>
    </row>
    <row r="38" spans="1:16" ht="12.75">
      <c r="A38" s="3" t="s">
        <v>669</v>
      </c>
      <c r="B38" s="1"/>
      <c r="C38" s="1"/>
      <c r="D38" s="1">
        <v>12000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>
        <f t="shared" si="1"/>
        <v>12000</v>
      </c>
    </row>
    <row r="39" spans="1:16" ht="12.75">
      <c r="A39" s="3" t="s">
        <v>107</v>
      </c>
      <c r="B39" s="1"/>
      <c r="C39" s="1"/>
      <c r="D39" s="1"/>
      <c r="E39" s="1"/>
      <c r="F39" s="1"/>
      <c r="G39" s="1"/>
      <c r="H39" s="1"/>
      <c r="I39" s="1">
        <v>2084.52</v>
      </c>
      <c r="J39" s="1"/>
      <c r="K39" s="1"/>
      <c r="L39" s="1"/>
      <c r="M39" s="1"/>
      <c r="N39" s="1"/>
      <c r="O39" s="1"/>
      <c r="P39" s="1">
        <v>2084.52</v>
      </c>
    </row>
    <row r="40" spans="1:16" ht="12.75">
      <c r="A40" s="3" t="s">
        <v>709</v>
      </c>
      <c r="B40" s="1"/>
      <c r="C40" s="1"/>
      <c r="D40" s="1"/>
      <c r="E40" s="1"/>
      <c r="F40" s="1">
        <v>611.16</v>
      </c>
      <c r="G40" s="1"/>
      <c r="H40" s="1"/>
      <c r="I40" s="1"/>
      <c r="J40" s="1"/>
      <c r="K40" s="1"/>
      <c r="L40" s="1"/>
      <c r="M40" s="1"/>
      <c r="N40" s="1"/>
      <c r="O40" s="1"/>
      <c r="P40" s="1">
        <f t="shared" si="1"/>
        <v>611.16</v>
      </c>
    </row>
    <row r="41" spans="1:16" ht="12.75">
      <c r="A41" s="3" t="s">
        <v>647</v>
      </c>
      <c r="B41" s="1"/>
      <c r="C41" s="1"/>
      <c r="D41" s="1"/>
      <c r="E41" s="1"/>
      <c r="F41" s="1"/>
      <c r="G41" s="1">
        <v>987.08</v>
      </c>
      <c r="H41" s="1"/>
      <c r="I41" s="1"/>
      <c r="J41" s="1"/>
      <c r="K41" s="1"/>
      <c r="L41" s="1"/>
      <c r="M41" s="1"/>
      <c r="N41" s="1"/>
      <c r="O41" s="1"/>
      <c r="P41" s="1">
        <f t="shared" si="1"/>
        <v>987.08</v>
      </c>
    </row>
    <row r="42" spans="1:16" ht="22.5">
      <c r="A42" s="3" t="s">
        <v>645</v>
      </c>
      <c r="B42" s="1"/>
      <c r="C42" s="1"/>
      <c r="D42" s="1"/>
      <c r="E42" s="1"/>
      <c r="F42" s="1"/>
      <c r="G42" s="1">
        <v>522.08</v>
      </c>
      <c r="H42" s="1"/>
      <c r="I42" s="1"/>
      <c r="J42" s="1"/>
      <c r="K42" s="1"/>
      <c r="L42" s="1"/>
      <c r="M42" s="1"/>
      <c r="N42" s="1"/>
      <c r="O42" s="1"/>
      <c r="P42" s="1">
        <f t="shared" si="1"/>
        <v>522.08</v>
      </c>
    </row>
    <row r="43" spans="1:16" ht="12.75">
      <c r="A43" s="3" t="s">
        <v>627</v>
      </c>
      <c r="B43" s="1"/>
      <c r="C43" s="1"/>
      <c r="D43" s="1"/>
      <c r="E43" s="1"/>
      <c r="F43" s="1"/>
      <c r="G43" s="1">
        <v>828.32</v>
      </c>
      <c r="H43" s="1"/>
      <c r="I43" s="1"/>
      <c r="J43" s="1"/>
      <c r="K43" s="1"/>
      <c r="L43" s="1"/>
      <c r="M43" s="1"/>
      <c r="N43" s="1"/>
      <c r="O43" s="1"/>
      <c r="P43" s="1">
        <f t="shared" si="0"/>
        <v>828.32</v>
      </c>
    </row>
    <row r="44" spans="1:16" ht="12.75">
      <c r="A44" s="1" t="s">
        <v>415</v>
      </c>
      <c r="B44" s="1"/>
      <c r="C44" s="1">
        <f aca="true" t="shared" si="2" ref="C44:P44">SUM(C4:C43)</f>
        <v>23980.44</v>
      </c>
      <c r="D44" s="1">
        <f t="shared" si="2"/>
        <v>38065.479999999996</v>
      </c>
      <c r="E44" s="1">
        <f t="shared" si="2"/>
        <v>21817.96</v>
      </c>
      <c r="F44" s="1">
        <f t="shared" si="2"/>
        <v>29872.6</v>
      </c>
      <c r="G44" s="1">
        <f t="shared" si="2"/>
        <v>23716.242000000006</v>
      </c>
      <c r="H44" s="1">
        <f t="shared" si="2"/>
        <v>69669.53</v>
      </c>
      <c r="I44" s="1">
        <f t="shared" si="2"/>
        <v>59923.92999999999</v>
      </c>
      <c r="J44" s="1">
        <f t="shared" si="2"/>
        <v>23217.489999999998</v>
      </c>
      <c r="K44" s="1">
        <f t="shared" si="2"/>
        <v>0</v>
      </c>
      <c r="L44" s="1">
        <f t="shared" si="2"/>
        <v>0</v>
      </c>
      <c r="M44" s="1">
        <f t="shared" si="2"/>
        <v>0</v>
      </c>
      <c r="N44" s="1">
        <f t="shared" si="2"/>
        <v>0</v>
      </c>
      <c r="O44" s="1">
        <f t="shared" si="2"/>
        <v>0</v>
      </c>
      <c r="P44" s="1">
        <f t="shared" si="2"/>
        <v>290263.6720000001</v>
      </c>
    </row>
    <row r="45" spans="1:16" ht="12.75">
      <c r="A45" s="1" t="s">
        <v>419</v>
      </c>
      <c r="B45" s="1"/>
      <c r="C45" s="1">
        <v>18841.02</v>
      </c>
      <c r="D45" s="1">
        <v>29438.8</v>
      </c>
      <c r="E45" s="1">
        <v>38764.82</v>
      </c>
      <c r="F45" s="1">
        <v>33967.28</v>
      </c>
      <c r="G45" s="1">
        <v>32430.61</v>
      </c>
      <c r="H45" s="1">
        <v>36481.57</v>
      </c>
      <c r="I45" s="1">
        <v>33124.84</v>
      </c>
      <c r="J45" s="1">
        <v>28666.75</v>
      </c>
      <c r="K45" s="1"/>
      <c r="L45" s="1"/>
      <c r="M45" s="1"/>
      <c r="N45" s="1"/>
      <c r="O45" s="1"/>
      <c r="P45" s="1">
        <f>SUM(C45:O45)+P51</f>
        <v>269038.2</v>
      </c>
    </row>
    <row r="46" spans="1:16" s="12" customFormat="1" ht="12.75">
      <c r="A46" s="2" t="s">
        <v>420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>
        <f>SUM(P45+P47+P48-P44+P1)</f>
        <v>-27720.262000000068</v>
      </c>
    </row>
    <row r="47" spans="1:16" ht="12.75">
      <c r="A47" s="1" t="s">
        <v>603</v>
      </c>
      <c r="B47" s="1"/>
      <c r="C47" s="1"/>
      <c r="D47" s="1"/>
      <c r="E47" s="1"/>
      <c r="F47" s="1"/>
      <c r="G47" s="1">
        <v>378</v>
      </c>
      <c r="H47" s="1">
        <v>400</v>
      </c>
      <c r="I47" s="1"/>
      <c r="J47" s="1">
        <v>240</v>
      </c>
      <c r="K47" s="1"/>
      <c r="L47" s="1"/>
      <c r="M47" s="1"/>
      <c r="N47" s="1"/>
      <c r="O47" s="1"/>
      <c r="P47" s="1">
        <f>SUM(G47:O47)</f>
        <v>1018</v>
      </c>
    </row>
    <row r="48" spans="1:16" ht="12.75">
      <c r="A48" s="1" t="s">
        <v>527</v>
      </c>
      <c r="B48" s="46"/>
      <c r="C48" s="47"/>
      <c r="D48" s="47"/>
      <c r="E48" s="47"/>
      <c r="F48" s="48"/>
      <c r="G48" s="1">
        <f>3675+1513.5</f>
        <v>5188.5</v>
      </c>
      <c r="H48" s="1">
        <v>600</v>
      </c>
      <c r="I48" s="1"/>
      <c r="J48" s="1">
        <v>140</v>
      </c>
      <c r="K48" s="1"/>
      <c r="L48" s="1"/>
      <c r="M48" s="1"/>
      <c r="N48" s="1"/>
      <c r="O48" s="1"/>
      <c r="P48" s="1">
        <f>SUM(G48:O48)</f>
        <v>5928.5</v>
      </c>
    </row>
    <row r="49" spans="1:16" ht="12.75">
      <c r="A49" s="1"/>
      <c r="B49" s="62" t="s">
        <v>481</v>
      </c>
      <c r="C49" s="63"/>
      <c r="D49" s="63"/>
      <c r="E49" s="63"/>
      <c r="F49" s="64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 t="s">
        <v>401</v>
      </c>
      <c r="B51" s="1"/>
      <c r="C51" s="1"/>
      <c r="D51" s="1"/>
      <c r="E51" s="1"/>
      <c r="F51" s="1">
        <v>5774.19</v>
      </c>
      <c r="G51" s="1"/>
      <c r="H51" s="1"/>
      <c r="I51" s="1"/>
      <c r="J51" s="1">
        <v>11548.32</v>
      </c>
      <c r="K51" s="1"/>
      <c r="L51" s="1"/>
      <c r="M51" s="1"/>
      <c r="N51" s="1"/>
      <c r="O51" s="1"/>
      <c r="P51" s="1">
        <f>SUM(C51:O51)</f>
        <v>17322.51</v>
      </c>
    </row>
    <row r="53" ht="12.75">
      <c r="G53" s="14" t="s">
        <v>428</v>
      </c>
    </row>
  </sheetData>
  <sheetProtection/>
  <mergeCells count="1">
    <mergeCell ref="B49:F49"/>
  </mergeCells>
  <printOptions/>
  <pageMargins left="0.7" right="0.7" top="0.75" bottom="0.75" header="0.3" footer="0.3"/>
  <pageSetup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P44" sqref="P44"/>
    </sheetView>
  </sheetViews>
  <sheetFormatPr defaultColWidth="9.00390625" defaultRowHeight="12.75"/>
  <cols>
    <col min="1" max="1" width="34.375" style="14" customWidth="1"/>
    <col min="2" max="2" width="11.375" style="14" customWidth="1"/>
    <col min="3" max="3" width="7.25390625" style="14" customWidth="1"/>
    <col min="4" max="4" width="8.75390625" style="14" customWidth="1"/>
    <col min="5" max="5" width="7.125" style="14" customWidth="1"/>
    <col min="6" max="6" width="8.875" style="14" customWidth="1"/>
    <col min="7" max="7" width="8.375" style="14" customWidth="1"/>
    <col min="8" max="8" width="9.125" style="14" customWidth="1"/>
    <col min="9" max="9" width="7.25390625" style="14" customWidth="1"/>
    <col min="10" max="11" width="9.125" style="14" customWidth="1"/>
    <col min="12" max="12" width="10.375" style="14" customWidth="1"/>
    <col min="13" max="16384" width="9.125" style="14" customWidth="1"/>
  </cols>
  <sheetData>
    <row r="1" spans="1:16" s="12" customFormat="1" ht="12.75">
      <c r="A1" s="2" t="s">
        <v>422</v>
      </c>
      <c r="B1" s="2">
        <v>1502.25</v>
      </c>
      <c r="C1" s="2"/>
      <c r="D1" s="2"/>
      <c r="E1" s="2"/>
      <c r="F1" s="2"/>
      <c r="G1" s="2"/>
      <c r="H1" s="2"/>
      <c r="I1" s="2"/>
      <c r="J1" s="2"/>
      <c r="K1" s="2" t="s">
        <v>236</v>
      </c>
      <c r="L1" s="2"/>
      <c r="M1" s="2" t="s">
        <v>607</v>
      </c>
      <c r="N1" s="2"/>
      <c r="O1" s="2"/>
      <c r="P1" s="2">
        <v>-55306.1</v>
      </c>
    </row>
    <row r="2" spans="1:16" ht="12.75">
      <c r="A2" s="1" t="s">
        <v>421</v>
      </c>
      <c r="B2" s="1">
        <f>PRODUCT(B1,10.65)</f>
        <v>15998.9625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2" customFormat="1" ht="12.75">
      <c r="A3" s="2" t="s">
        <v>409</v>
      </c>
      <c r="B3" s="2" t="s">
        <v>410</v>
      </c>
      <c r="C3" s="2" t="s">
        <v>434</v>
      </c>
      <c r="D3" s="2" t="s">
        <v>438</v>
      </c>
      <c r="E3" s="2" t="s">
        <v>437</v>
      </c>
      <c r="F3" s="2" t="s">
        <v>436</v>
      </c>
      <c r="G3" s="2" t="s">
        <v>413</v>
      </c>
      <c r="H3" s="2" t="s">
        <v>414</v>
      </c>
      <c r="I3" s="2" t="s">
        <v>416</v>
      </c>
      <c r="J3" s="2" t="s">
        <v>417</v>
      </c>
      <c r="K3" s="2" t="s">
        <v>423</v>
      </c>
      <c r="L3" s="2" t="s">
        <v>424</v>
      </c>
      <c r="M3" s="2" t="s">
        <v>425</v>
      </c>
      <c r="N3" s="2" t="s">
        <v>426</v>
      </c>
      <c r="O3" s="2" t="s">
        <v>434</v>
      </c>
      <c r="P3" s="2" t="s">
        <v>427</v>
      </c>
    </row>
    <row r="4" spans="1:16" ht="12.75">
      <c r="A4" s="1" t="s">
        <v>411</v>
      </c>
      <c r="B4" s="1">
        <v>1.57</v>
      </c>
      <c r="C4" s="1">
        <v>2358.53</v>
      </c>
      <c r="D4" s="1">
        <v>2358.53</v>
      </c>
      <c r="E4" s="1">
        <v>2358.53</v>
      </c>
      <c r="F4" s="1">
        <v>2358.53</v>
      </c>
      <c r="G4" s="1">
        <v>2358.53</v>
      </c>
      <c r="H4" s="1">
        <v>2358.53</v>
      </c>
      <c r="I4" s="1">
        <v>2358.53</v>
      </c>
      <c r="J4" s="1">
        <v>2358.53</v>
      </c>
      <c r="K4" s="1"/>
      <c r="L4" s="1"/>
      <c r="M4" s="1"/>
      <c r="N4" s="1"/>
      <c r="O4" s="1"/>
      <c r="P4" s="1">
        <f>SUM(C4:O4)</f>
        <v>18868.24</v>
      </c>
    </row>
    <row r="5" spans="1:16" ht="12.75">
      <c r="A5" s="1" t="s">
        <v>451</v>
      </c>
      <c r="B5" s="1">
        <v>1.6</v>
      </c>
      <c r="C5" s="1">
        <v>2403.6</v>
      </c>
      <c r="D5" s="1">
        <v>2403.6</v>
      </c>
      <c r="E5" s="1">
        <v>2403.6</v>
      </c>
      <c r="F5" s="1">
        <v>2403.6</v>
      </c>
      <c r="G5" s="1">
        <v>2403.6</v>
      </c>
      <c r="H5" s="1">
        <v>2403.6</v>
      </c>
      <c r="I5" s="1">
        <v>2403.6</v>
      </c>
      <c r="J5" s="1">
        <v>2403.6</v>
      </c>
      <c r="K5" s="1"/>
      <c r="L5" s="1"/>
      <c r="M5" s="1"/>
      <c r="N5" s="1"/>
      <c r="O5" s="1"/>
      <c r="P5" s="1">
        <f>SUM(C5:O5)</f>
        <v>19228.8</v>
      </c>
    </row>
    <row r="6" spans="1:16" ht="12.75">
      <c r="A6" s="1" t="s">
        <v>412</v>
      </c>
      <c r="B6" s="1">
        <v>1.6</v>
      </c>
      <c r="C6" s="1">
        <v>2403.6</v>
      </c>
      <c r="D6" s="1">
        <v>2403.6</v>
      </c>
      <c r="E6" s="1">
        <v>2403.6</v>
      </c>
      <c r="F6" s="1">
        <v>2403.6</v>
      </c>
      <c r="G6" s="1">
        <v>2403.6</v>
      </c>
      <c r="H6" s="1">
        <v>2403.6</v>
      </c>
      <c r="I6" s="1">
        <v>2403.6</v>
      </c>
      <c r="J6" s="1">
        <v>2403.6</v>
      </c>
      <c r="K6" s="1"/>
      <c r="L6" s="1"/>
      <c r="M6" s="1"/>
      <c r="N6" s="1"/>
      <c r="O6" s="1"/>
      <c r="P6" s="1">
        <f>SUM(C6:O6)</f>
        <v>19228.8</v>
      </c>
    </row>
    <row r="7" spans="1:16" ht="12.75">
      <c r="A7" s="1" t="s">
        <v>435</v>
      </c>
      <c r="B7" s="1">
        <v>0.66</v>
      </c>
      <c r="C7" s="1">
        <v>991.49</v>
      </c>
      <c r="D7" s="1">
        <v>991.49</v>
      </c>
      <c r="E7" s="1">
        <v>991.49</v>
      </c>
      <c r="F7" s="1">
        <v>991.49</v>
      </c>
      <c r="G7" s="1">
        <v>991.49</v>
      </c>
      <c r="H7" s="1">
        <v>991.49</v>
      </c>
      <c r="I7" s="1">
        <v>991.49</v>
      </c>
      <c r="J7" s="1">
        <v>991.49</v>
      </c>
      <c r="K7" s="1"/>
      <c r="L7" s="1"/>
      <c r="M7" s="1"/>
      <c r="N7" s="1"/>
      <c r="O7" s="1"/>
      <c r="P7" s="1">
        <f>SUM(C7:O7)</f>
        <v>7931.919999999999</v>
      </c>
    </row>
    <row r="8" spans="1:16" ht="12.75">
      <c r="A8" s="1" t="s">
        <v>468</v>
      </c>
      <c r="B8" s="1">
        <v>0.44</v>
      </c>
      <c r="C8" s="1">
        <v>660.99</v>
      </c>
      <c r="D8" s="1">
        <v>660.99</v>
      </c>
      <c r="E8" s="1">
        <v>660.99</v>
      </c>
      <c r="F8" s="1">
        <v>660.99</v>
      </c>
      <c r="G8" s="1">
        <v>660.99</v>
      </c>
      <c r="H8" s="1">
        <v>660.99</v>
      </c>
      <c r="I8" s="1">
        <v>660.99</v>
      </c>
      <c r="J8" s="1">
        <v>660.99</v>
      </c>
      <c r="K8" s="1"/>
      <c r="L8" s="1"/>
      <c r="M8" s="1"/>
      <c r="N8" s="1"/>
      <c r="O8" s="1"/>
      <c r="P8" s="1">
        <f>SUM(C8:O8)</f>
        <v>5287.919999999999</v>
      </c>
    </row>
    <row r="9" spans="1:16" ht="15.75" customHeight="1">
      <c r="A9" s="3" t="s">
        <v>253</v>
      </c>
      <c r="B9" s="1"/>
      <c r="C9" s="1">
        <v>2712</v>
      </c>
      <c r="D9" s="1">
        <v>2712</v>
      </c>
      <c r="E9" s="1">
        <v>2712</v>
      </c>
      <c r="F9" s="1">
        <v>2712</v>
      </c>
      <c r="G9" s="1">
        <v>2712</v>
      </c>
      <c r="H9" s="1">
        <v>2712</v>
      </c>
      <c r="I9" s="1">
        <v>2712</v>
      </c>
      <c r="J9" s="1">
        <v>2712</v>
      </c>
      <c r="K9" s="1"/>
      <c r="L9" s="1"/>
      <c r="M9" s="1"/>
      <c r="N9" s="1"/>
      <c r="O9" s="1"/>
      <c r="P9" s="1">
        <f>SUM(H9:O9)</f>
        <v>8136</v>
      </c>
    </row>
    <row r="10" spans="1:16" ht="13.5" customHeight="1">
      <c r="A10" s="3" t="s">
        <v>478</v>
      </c>
      <c r="B10" s="1"/>
      <c r="C10" s="1">
        <v>1356</v>
      </c>
      <c r="D10" s="1">
        <v>1356</v>
      </c>
      <c r="E10" s="1">
        <v>1356</v>
      </c>
      <c r="F10" s="1">
        <v>1356</v>
      </c>
      <c r="G10" s="1">
        <v>1356</v>
      </c>
      <c r="H10" s="1">
        <v>1356</v>
      </c>
      <c r="I10" s="1">
        <v>1356</v>
      </c>
      <c r="J10" s="1">
        <v>1356</v>
      </c>
      <c r="K10" s="1"/>
      <c r="L10" s="1"/>
      <c r="M10" s="1"/>
      <c r="N10" s="1"/>
      <c r="O10" s="1"/>
      <c r="P10" s="1">
        <f>SUM(C10:O10)</f>
        <v>10848</v>
      </c>
    </row>
    <row r="11" spans="1:16" ht="12.75">
      <c r="A11" s="3" t="s">
        <v>480</v>
      </c>
      <c r="B11" s="1"/>
      <c r="C11" s="1">
        <v>69.1</v>
      </c>
      <c r="D11" s="1">
        <v>69.1</v>
      </c>
      <c r="E11" s="1">
        <v>69.1</v>
      </c>
      <c r="F11" s="1">
        <v>69.1</v>
      </c>
      <c r="G11" s="1">
        <v>69.1</v>
      </c>
      <c r="H11" s="1">
        <v>48.07</v>
      </c>
      <c r="I11" s="1">
        <v>217.83</v>
      </c>
      <c r="J11" s="1">
        <v>217.83</v>
      </c>
      <c r="K11" s="1"/>
      <c r="L11" s="1"/>
      <c r="M11" s="1"/>
      <c r="N11" s="1"/>
      <c r="O11" s="1"/>
      <c r="P11" s="1">
        <f aca="true" t="shared" si="0" ref="P11:P39">SUM(C11:O11)</f>
        <v>829.23</v>
      </c>
    </row>
    <row r="12" spans="1:16" ht="12.75">
      <c r="A12" s="3" t="s">
        <v>263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f t="shared" si="0"/>
        <v>0</v>
      </c>
    </row>
    <row r="13" spans="1:16" ht="22.5">
      <c r="A13" s="3" t="s">
        <v>498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 t="shared" si="0"/>
        <v>0</v>
      </c>
    </row>
    <row r="14" spans="1:16" ht="12.75">
      <c r="A14" s="1" t="s">
        <v>506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si="0"/>
        <v>0</v>
      </c>
    </row>
    <row r="15" spans="1:16" ht="12.75">
      <c r="A15" s="1" t="s">
        <v>218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f t="shared" si="0"/>
        <v>0</v>
      </c>
    </row>
    <row r="16" spans="1:16" ht="12.75">
      <c r="A16" s="1" t="s">
        <v>516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f t="shared" si="0"/>
        <v>0</v>
      </c>
    </row>
    <row r="17" spans="1:16" ht="12.75">
      <c r="A17" s="1" t="s">
        <v>226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si="0"/>
        <v>0</v>
      </c>
    </row>
    <row r="18" spans="1:16" ht="12.75">
      <c r="A18" s="1" t="s">
        <v>499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f t="shared" si="0"/>
        <v>0</v>
      </c>
    </row>
    <row r="19" spans="1:16" ht="12.75">
      <c r="A19" s="1" t="s">
        <v>492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f t="shared" si="0"/>
        <v>0</v>
      </c>
    </row>
    <row r="20" spans="1:16" ht="12.75">
      <c r="A20" s="1" t="s">
        <v>493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 t="shared" si="0"/>
        <v>0</v>
      </c>
    </row>
    <row r="21" spans="1:16" ht="12.75">
      <c r="A21" s="1" t="s">
        <v>494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f t="shared" si="0"/>
        <v>0</v>
      </c>
    </row>
    <row r="22" spans="1:16" ht="22.5">
      <c r="A22" s="3" t="s">
        <v>533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f t="shared" si="0"/>
        <v>0</v>
      </c>
    </row>
    <row r="23" spans="1:16" ht="15.75" customHeight="1">
      <c r="A23" s="3" t="s">
        <v>539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>
        <f t="shared" si="0"/>
        <v>0</v>
      </c>
    </row>
    <row r="24" spans="1:16" ht="15.75" customHeight="1">
      <c r="A24" s="3" t="s">
        <v>226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f t="shared" si="0"/>
        <v>0</v>
      </c>
    </row>
    <row r="25" spans="1:16" ht="12.75">
      <c r="A25" s="1" t="s">
        <v>522</v>
      </c>
      <c r="B25" s="1"/>
      <c r="C25" s="1"/>
      <c r="D25" s="1"/>
      <c r="E25" s="1"/>
      <c r="F25" s="1"/>
      <c r="G25" s="1"/>
      <c r="H25" s="1"/>
      <c r="I25" s="1"/>
      <c r="J25" s="1">
        <v>9682</v>
      </c>
      <c r="K25" s="1"/>
      <c r="L25" s="1"/>
      <c r="M25" s="1"/>
      <c r="N25" s="1"/>
      <c r="O25" s="1"/>
      <c r="P25" s="1">
        <f t="shared" si="0"/>
        <v>9682</v>
      </c>
    </row>
    <row r="26" spans="1:16" ht="12.75">
      <c r="A26" s="1" t="s">
        <v>210</v>
      </c>
      <c r="B26" s="1"/>
      <c r="C26" s="1"/>
      <c r="D26" s="1"/>
      <c r="E26" s="1"/>
      <c r="F26" s="1">
        <v>414.16</v>
      </c>
      <c r="G26" s="1"/>
      <c r="H26" s="1"/>
      <c r="I26" s="1"/>
      <c r="J26" s="1"/>
      <c r="K26" s="1"/>
      <c r="L26" s="1"/>
      <c r="M26" s="1"/>
      <c r="N26" s="1"/>
      <c r="O26" s="1"/>
      <c r="P26" s="1">
        <f t="shared" si="0"/>
        <v>414.16</v>
      </c>
    </row>
    <row r="27" spans="1:16" ht="12.75">
      <c r="A27" s="1" t="s">
        <v>211</v>
      </c>
      <c r="B27" s="1"/>
      <c r="C27" s="1"/>
      <c r="D27" s="1"/>
      <c r="E27" s="1">
        <v>693.23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>
        <f t="shared" si="0"/>
        <v>693.23</v>
      </c>
    </row>
    <row r="28" spans="1:16" ht="12.75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>
        <v>4940.88</v>
      </c>
      <c r="K28" s="1"/>
      <c r="L28" s="1"/>
      <c r="M28" s="1"/>
      <c r="N28" s="1"/>
      <c r="O28" s="1"/>
      <c r="P28" s="1">
        <v>4940.88</v>
      </c>
    </row>
    <row r="29" spans="1:16" ht="12.75">
      <c r="A29" s="1" t="s">
        <v>213</v>
      </c>
      <c r="B29" s="1"/>
      <c r="C29" s="1"/>
      <c r="D29" s="1">
        <v>915.32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>
        <f t="shared" si="0"/>
        <v>915.32</v>
      </c>
    </row>
    <row r="30" spans="1:16" ht="12.75">
      <c r="A30" s="1" t="s">
        <v>217</v>
      </c>
      <c r="B30" s="1"/>
      <c r="C30" s="1"/>
      <c r="D30" s="1">
        <v>36221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>
        <f t="shared" si="0"/>
        <v>36221</v>
      </c>
    </row>
    <row r="31" spans="1:16" ht="22.5">
      <c r="A31" s="3" t="s">
        <v>216</v>
      </c>
      <c r="B31" s="1"/>
      <c r="C31" s="1">
        <v>484.16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>
        <f t="shared" si="0"/>
        <v>484.16</v>
      </c>
    </row>
    <row r="32" spans="1:16" ht="33.75">
      <c r="A32" s="3" t="s">
        <v>215</v>
      </c>
      <c r="B32" s="1"/>
      <c r="C32" s="1"/>
      <c r="D32" s="1">
        <v>828.32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>
        <f t="shared" si="0"/>
        <v>828.32</v>
      </c>
    </row>
    <row r="33" spans="1:16" ht="22.5">
      <c r="A33" s="3" t="s">
        <v>214</v>
      </c>
      <c r="B33" s="1"/>
      <c r="C33" s="1"/>
      <c r="D33" s="1">
        <v>1656.64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>
        <f t="shared" si="0"/>
        <v>1656.64</v>
      </c>
    </row>
    <row r="34" spans="1:16" ht="12.75">
      <c r="A34" s="3" t="s">
        <v>649</v>
      </c>
      <c r="B34" s="1"/>
      <c r="C34" s="1"/>
      <c r="D34" s="1"/>
      <c r="E34" s="1"/>
      <c r="F34" s="1"/>
      <c r="G34" s="1">
        <v>414.16</v>
      </c>
      <c r="H34" s="1"/>
      <c r="I34" s="1"/>
      <c r="J34" s="1"/>
      <c r="K34" s="1"/>
      <c r="L34" s="1"/>
      <c r="M34" s="1"/>
      <c r="N34" s="1"/>
      <c r="O34" s="1"/>
      <c r="P34" s="1">
        <f>SUM(C34:O34)</f>
        <v>414.16</v>
      </c>
    </row>
    <row r="35" spans="1:16" ht="22.5">
      <c r="A35" s="3" t="s">
        <v>212</v>
      </c>
      <c r="B35" s="1"/>
      <c r="C35" s="1"/>
      <c r="D35" s="1">
        <v>1656.64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>
        <f t="shared" si="0"/>
        <v>1656.64</v>
      </c>
    </row>
    <row r="36" spans="1:16" ht="12.75">
      <c r="A36" s="3" t="s">
        <v>560</v>
      </c>
      <c r="B36" s="1"/>
      <c r="C36" s="1"/>
      <c r="D36" s="1"/>
      <c r="E36" s="1"/>
      <c r="F36" s="1">
        <v>414.16</v>
      </c>
      <c r="G36" s="1"/>
      <c r="H36" s="1"/>
      <c r="I36" s="1"/>
      <c r="J36" s="1"/>
      <c r="K36" s="1"/>
      <c r="L36" s="1"/>
      <c r="M36" s="1"/>
      <c r="N36" s="1"/>
      <c r="O36" s="1"/>
      <c r="P36" s="1">
        <f>SUM(C36:O36)</f>
        <v>414.16</v>
      </c>
    </row>
    <row r="37" spans="1:16" ht="12.75">
      <c r="A37" s="3" t="s">
        <v>700</v>
      </c>
      <c r="B37" s="1"/>
      <c r="C37" s="1"/>
      <c r="D37" s="1"/>
      <c r="E37" s="1"/>
      <c r="F37" s="1">
        <v>414.16</v>
      </c>
      <c r="G37" s="1"/>
      <c r="H37" s="1"/>
      <c r="I37" s="1"/>
      <c r="J37" s="1"/>
      <c r="K37" s="1"/>
      <c r="L37" s="1"/>
      <c r="M37" s="1"/>
      <c r="N37" s="1"/>
      <c r="O37" s="1"/>
      <c r="P37" s="1">
        <v>414.16</v>
      </c>
    </row>
    <row r="38" spans="1:16" ht="12.75">
      <c r="A38" s="3" t="s">
        <v>646</v>
      </c>
      <c r="B38" s="1"/>
      <c r="C38" s="1"/>
      <c r="D38" s="1"/>
      <c r="E38" s="1"/>
      <c r="F38" s="1"/>
      <c r="G38" s="1">
        <v>207.08</v>
      </c>
      <c r="H38" s="1"/>
      <c r="I38" s="1"/>
      <c r="J38" s="1"/>
      <c r="K38" s="1"/>
      <c r="L38" s="1"/>
      <c r="M38" s="1"/>
      <c r="N38" s="1"/>
      <c r="O38" s="1"/>
      <c r="P38" s="1">
        <f t="shared" si="0"/>
        <v>207.08</v>
      </c>
    </row>
    <row r="39" spans="1:16" ht="13.5" customHeight="1">
      <c r="A39" s="3" t="s">
        <v>529</v>
      </c>
      <c r="B39" s="1"/>
      <c r="C39" s="1"/>
      <c r="D39" s="1"/>
      <c r="E39" s="1"/>
      <c r="F39" s="1"/>
      <c r="G39" s="1"/>
      <c r="H39" s="1">
        <v>1500</v>
      </c>
      <c r="I39" s="1"/>
      <c r="J39" s="1"/>
      <c r="K39" s="1"/>
      <c r="L39" s="1"/>
      <c r="M39" s="1"/>
      <c r="N39" s="1"/>
      <c r="O39" s="1"/>
      <c r="P39" s="1">
        <f t="shared" si="0"/>
        <v>1500</v>
      </c>
    </row>
    <row r="40" spans="1:16" ht="12.75">
      <c r="A40" s="1" t="s">
        <v>415</v>
      </c>
      <c r="B40" s="1"/>
      <c r="C40" s="1">
        <f>SUM(C4:C39)</f>
        <v>13439.47</v>
      </c>
      <c r="D40" s="1">
        <f>SUM(D4:D39)</f>
        <v>54233.229999999996</v>
      </c>
      <c r="E40" s="1">
        <f>SUM(E4:E39)</f>
        <v>13648.539999999999</v>
      </c>
      <c r="F40" s="1">
        <f>SUM(F4:F39)</f>
        <v>14197.789999999999</v>
      </c>
      <c r="G40" s="1">
        <f>SUM(G4:G39)</f>
        <v>13576.55</v>
      </c>
      <c r="H40" s="1">
        <f aca="true" t="shared" si="1" ref="H40:P40">SUM(H4:H39)</f>
        <v>14434.279999999999</v>
      </c>
      <c r="I40" s="1">
        <f t="shared" si="1"/>
        <v>13104.039999999999</v>
      </c>
      <c r="J40" s="1">
        <f t="shared" si="1"/>
        <v>27726.920000000002</v>
      </c>
      <c r="K40" s="1">
        <f t="shared" si="1"/>
        <v>0</v>
      </c>
      <c r="L40" s="1">
        <f t="shared" si="1"/>
        <v>0</v>
      </c>
      <c r="M40" s="1">
        <f t="shared" si="1"/>
        <v>0</v>
      </c>
      <c r="N40" s="1">
        <f t="shared" si="1"/>
        <v>0</v>
      </c>
      <c r="O40" s="1">
        <f t="shared" si="1"/>
        <v>0</v>
      </c>
      <c r="P40" s="1">
        <f t="shared" si="1"/>
        <v>150800.82000000004</v>
      </c>
    </row>
    <row r="41" spans="1:16" ht="12.75">
      <c r="A41" s="1" t="s">
        <v>419</v>
      </c>
      <c r="B41" s="1"/>
      <c r="C41" s="1">
        <v>10965.79</v>
      </c>
      <c r="D41" s="1">
        <v>20261.35</v>
      </c>
      <c r="E41" s="1">
        <v>18867.37</v>
      </c>
      <c r="F41" s="1">
        <v>17340.57</v>
      </c>
      <c r="G41" s="1">
        <v>19790.86</v>
      </c>
      <c r="H41" s="1">
        <v>19290.01</v>
      </c>
      <c r="I41" s="1">
        <v>16795.74</v>
      </c>
      <c r="J41" s="1">
        <v>19422.14</v>
      </c>
      <c r="K41" s="1"/>
      <c r="L41" s="1"/>
      <c r="M41" s="1"/>
      <c r="N41" s="1"/>
      <c r="O41" s="1"/>
      <c r="P41" s="1">
        <f>SUM(C41:O41)</f>
        <v>142733.83</v>
      </c>
    </row>
    <row r="42" spans="1:16" s="12" customFormat="1" ht="12.75">
      <c r="A42" s="2" t="s">
        <v>420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>
        <f>SUM(P41+P43+P44-P40+P1)</f>
        <v>-56426.59000000005</v>
      </c>
    </row>
    <row r="43" spans="1:16" s="12" customFormat="1" ht="12.75">
      <c r="A43" s="2" t="s">
        <v>603</v>
      </c>
      <c r="B43" s="2"/>
      <c r="C43" s="2"/>
      <c r="D43" s="2"/>
      <c r="E43" s="2"/>
      <c r="F43" s="2">
        <v>378</v>
      </c>
      <c r="G43" s="2"/>
      <c r="H43" s="2">
        <v>400</v>
      </c>
      <c r="I43" s="2"/>
      <c r="J43" s="2">
        <v>240</v>
      </c>
      <c r="K43" s="2"/>
      <c r="L43" s="2"/>
      <c r="M43" s="2"/>
      <c r="N43" s="2"/>
      <c r="O43" s="2"/>
      <c r="P43" s="2">
        <f>SUM(F43:O43)</f>
        <v>1018</v>
      </c>
    </row>
    <row r="44" spans="1:16" ht="12.75">
      <c r="A44" s="1" t="s">
        <v>527</v>
      </c>
      <c r="B44" s="1"/>
      <c r="C44" s="1"/>
      <c r="D44" s="1"/>
      <c r="E44" s="1"/>
      <c r="F44" s="1">
        <v>3675</v>
      </c>
      <c r="G44" s="1">
        <v>1513.5</v>
      </c>
      <c r="H44" s="1">
        <v>600</v>
      </c>
      <c r="I44" s="1"/>
      <c r="J44" s="1">
        <v>140</v>
      </c>
      <c r="K44" s="1"/>
      <c r="L44" s="1"/>
      <c r="M44" s="1"/>
      <c r="N44" s="1"/>
      <c r="O44" s="1"/>
      <c r="P44" s="1">
        <f>SUM(F44:O44)</f>
        <v>5928.5</v>
      </c>
    </row>
    <row r="45" spans="1:16" ht="12.75">
      <c r="A45" s="1"/>
      <c r="B45" s="62" t="s">
        <v>481</v>
      </c>
      <c r="C45" s="63"/>
      <c r="D45" s="63"/>
      <c r="E45" s="63"/>
      <c r="F45" s="64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9" ht="12.75">
      <c r="G49" s="14" t="s">
        <v>428</v>
      </c>
    </row>
  </sheetData>
  <sheetProtection/>
  <mergeCells count="1">
    <mergeCell ref="B45:F45"/>
  </mergeCells>
  <printOptions/>
  <pageMargins left="0.7" right="0.7" top="0.75" bottom="0.75" header="0.3" footer="0.3"/>
  <pageSetup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pane xSplit="5" ySplit="18" topLeftCell="F28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P40" sqref="P40"/>
    </sheetView>
  </sheetViews>
  <sheetFormatPr defaultColWidth="9.00390625" defaultRowHeight="12.75"/>
  <cols>
    <col min="1" max="1" width="34.375" style="14" customWidth="1"/>
    <col min="2" max="2" width="11.375" style="14" customWidth="1"/>
    <col min="3" max="3" width="7.25390625" style="14" customWidth="1"/>
    <col min="4" max="4" width="8.75390625" style="14" customWidth="1"/>
    <col min="5" max="5" width="7.125" style="14" customWidth="1"/>
    <col min="6" max="6" width="8.875" style="14" customWidth="1"/>
    <col min="7" max="7" width="8.375" style="14" customWidth="1"/>
    <col min="8" max="8" width="9.125" style="14" customWidth="1"/>
    <col min="9" max="9" width="7.25390625" style="14" customWidth="1"/>
    <col min="10" max="11" width="9.125" style="14" customWidth="1"/>
    <col min="12" max="12" width="10.375" style="14" customWidth="1"/>
    <col min="13" max="16384" width="9.125" style="14" customWidth="1"/>
  </cols>
  <sheetData>
    <row r="1" spans="1:16" s="12" customFormat="1" ht="12.75">
      <c r="A1" s="2" t="s">
        <v>422</v>
      </c>
      <c r="B1" s="2">
        <v>1973.2</v>
      </c>
      <c r="C1" s="2"/>
      <c r="D1" s="2"/>
      <c r="E1" s="2"/>
      <c r="F1" s="2"/>
      <c r="G1" s="2"/>
      <c r="H1" s="2"/>
      <c r="I1" s="2"/>
      <c r="J1" s="2"/>
      <c r="K1" s="2" t="s">
        <v>395</v>
      </c>
      <c r="L1" s="2"/>
      <c r="M1" s="2" t="s">
        <v>607</v>
      </c>
      <c r="N1" s="2"/>
      <c r="O1" s="2"/>
      <c r="P1" s="2">
        <v>-26734.34</v>
      </c>
    </row>
    <row r="2" spans="1:16" ht="12.75">
      <c r="A2" s="1" t="s">
        <v>681</v>
      </c>
      <c r="B2" s="1">
        <v>25651.6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2" customFormat="1" ht="12.75">
      <c r="A3" s="2" t="s">
        <v>409</v>
      </c>
      <c r="B3" s="2" t="s">
        <v>410</v>
      </c>
      <c r="C3" s="2" t="s">
        <v>434</v>
      </c>
      <c r="D3" s="2" t="s">
        <v>438</v>
      </c>
      <c r="E3" s="2" t="s">
        <v>437</v>
      </c>
      <c r="F3" s="2" t="s">
        <v>436</v>
      </c>
      <c r="G3" s="2" t="s">
        <v>413</v>
      </c>
      <c r="H3" s="2" t="s">
        <v>414</v>
      </c>
      <c r="I3" s="2" t="s">
        <v>416</v>
      </c>
      <c r="J3" s="2" t="s">
        <v>417</v>
      </c>
      <c r="K3" s="2" t="s">
        <v>423</v>
      </c>
      <c r="L3" s="2" t="s">
        <v>424</v>
      </c>
      <c r="M3" s="2" t="s">
        <v>425</v>
      </c>
      <c r="N3" s="2" t="s">
        <v>426</v>
      </c>
      <c r="O3" s="2" t="s">
        <v>434</v>
      </c>
      <c r="P3" s="2" t="s">
        <v>427</v>
      </c>
    </row>
    <row r="4" spans="1:16" ht="12.75">
      <c r="A4" s="1" t="s">
        <v>411</v>
      </c>
      <c r="B4" s="1">
        <v>1.57</v>
      </c>
      <c r="C4" s="1">
        <v>3098</v>
      </c>
      <c r="D4" s="1">
        <v>3098</v>
      </c>
      <c r="E4" s="1">
        <v>3098</v>
      </c>
      <c r="F4" s="1">
        <v>3098</v>
      </c>
      <c r="G4" s="1">
        <v>3098</v>
      </c>
      <c r="H4" s="1">
        <v>3098</v>
      </c>
      <c r="I4" s="1">
        <v>3098</v>
      </c>
      <c r="J4" s="1">
        <v>3098</v>
      </c>
      <c r="K4" s="1"/>
      <c r="L4" s="1"/>
      <c r="M4" s="1"/>
      <c r="N4" s="1"/>
      <c r="O4" s="1"/>
      <c r="P4" s="1">
        <f aca="true" t="shared" si="0" ref="P4:P34">SUM(C4:O4)</f>
        <v>24784</v>
      </c>
    </row>
    <row r="5" spans="1:16" ht="12.75">
      <c r="A5" s="1" t="s">
        <v>451</v>
      </c>
      <c r="B5" s="1">
        <v>1.6</v>
      </c>
      <c r="C5" s="1">
        <v>3157.12</v>
      </c>
      <c r="D5" s="1">
        <v>3157.12</v>
      </c>
      <c r="E5" s="1">
        <v>3157.12</v>
      </c>
      <c r="F5" s="1">
        <v>3157.12</v>
      </c>
      <c r="G5" s="1">
        <v>3157.12</v>
      </c>
      <c r="H5" s="1">
        <v>3157.12</v>
      </c>
      <c r="I5" s="1">
        <v>3157.12</v>
      </c>
      <c r="J5" s="1">
        <v>3157.12</v>
      </c>
      <c r="K5" s="1"/>
      <c r="L5" s="1"/>
      <c r="M5" s="1"/>
      <c r="N5" s="1"/>
      <c r="O5" s="1"/>
      <c r="P5" s="1">
        <f t="shared" si="0"/>
        <v>25256.959999999995</v>
      </c>
    </row>
    <row r="6" spans="1:16" ht="12.75">
      <c r="A6" s="1" t="s">
        <v>412</v>
      </c>
      <c r="B6" s="1">
        <v>1.6</v>
      </c>
      <c r="C6" s="1">
        <v>3157.12</v>
      </c>
      <c r="D6" s="1">
        <v>3157.12</v>
      </c>
      <c r="E6" s="1">
        <v>3157.12</v>
      </c>
      <c r="F6" s="1">
        <v>3157.12</v>
      </c>
      <c r="G6" s="1">
        <v>3157.12</v>
      </c>
      <c r="H6" s="1">
        <v>3157.12</v>
      </c>
      <c r="I6" s="1">
        <v>3157.12</v>
      </c>
      <c r="J6" s="1">
        <v>3157.12</v>
      </c>
      <c r="K6" s="1"/>
      <c r="L6" s="1"/>
      <c r="M6" s="1"/>
      <c r="N6" s="1"/>
      <c r="O6" s="1"/>
      <c r="P6" s="1">
        <f t="shared" si="0"/>
        <v>25256.959999999995</v>
      </c>
    </row>
    <row r="7" spans="1:16" ht="12.75">
      <c r="A7" s="1" t="s">
        <v>435</v>
      </c>
      <c r="B7" s="1">
        <v>0.66</v>
      </c>
      <c r="C7" s="1">
        <v>1302.31</v>
      </c>
      <c r="D7" s="1">
        <v>1302.31</v>
      </c>
      <c r="E7" s="1">
        <v>1302.31</v>
      </c>
      <c r="F7" s="1">
        <v>1302.31</v>
      </c>
      <c r="G7" s="1">
        <v>1302.31</v>
      </c>
      <c r="H7" s="1">
        <v>1302.31</v>
      </c>
      <c r="I7" s="1">
        <v>1302.31</v>
      </c>
      <c r="J7" s="1">
        <v>1302.31</v>
      </c>
      <c r="K7" s="1"/>
      <c r="L7" s="1"/>
      <c r="M7" s="1"/>
      <c r="N7" s="1"/>
      <c r="O7" s="1"/>
      <c r="P7" s="1">
        <f t="shared" si="0"/>
        <v>10418.479999999998</v>
      </c>
    </row>
    <row r="8" spans="1:16" ht="12.75">
      <c r="A8" s="1" t="s">
        <v>468</v>
      </c>
      <c r="B8" s="1">
        <v>0.44</v>
      </c>
      <c r="C8" s="1">
        <v>868.21</v>
      </c>
      <c r="D8" s="1">
        <v>868.21</v>
      </c>
      <c r="E8" s="1">
        <v>868.21</v>
      </c>
      <c r="F8" s="1">
        <v>868.21</v>
      </c>
      <c r="G8" s="1">
        <v>868.21</v>
      </c>
      <c r="H8" s="1">
        <v>868.21</v>
      </c>
      <c r="I8" s="1">
        <v>868.21</v>
      </c>
      <c r="J8" s="1">
        <v>868.21</v>
      </c>
      <c r="K8" s="1"/>
      <c r="L8" s="1"/>
      <c r="M8" s="1"/>
      <c r="N8" s="1"/>
      <c r="O8" s="1"/>
      <c r="P8" s="1">
        <f t="shared" si="0"/>
        <v>6945.68</v>
      </c>
    </row>
    <row r="9" spans="1:16" ht="12.75">
      <c r="A9" s="3" t="s">
        <v>480</v>
      </c>
      <c r="B9" s="1"/>
      <c r="C9" s="1">
        <v>90.77</v>
      </c>
      <c r="D9" s="1">
        <v>90.77</v>
      </c>
      <c r="E9" s="1">
        <v>90.77</v>
      </c>
      <c r="F9" s="1">
        <v>90.77</v>
      </c>
      <c r="G9" s="1">
        <v>90.77</v>
      </c>
      <c r="H9" s="1">
        <v>63.14</v>
      </c>
      <c r="I9" s="1">
        <v>294.99</v>
      </c>
      <c r="J9" s="1">
        <v>294.99</v>
      </c>
      <c r="K9" s="1"/>
      <c r="L9" s="1"/>
      <c r="M9" s="1"/>
      <c r="N9" s="1"/>
      <c r="O9" s="1"/>
      <c r="P9" s="1">
        <f t="shared" si="0"/>
        <v>1106.97</v>
      </c>
    </row>
    <row r="10" spans="1:16" ht="12.75">
      <c r="A10" s="3" t="s">
        <v>478</v>
      </c>
      <c r="B10" s="1"/>
      <c r="C10" s="1">
        <v>4069</v>
      </c>
      <c r="D10" s="1">
        <v>4069</v>
      </c>
      <c r="E10" s="1">
        <v>4069</v>
      </c>
      <c r="F10" s="1">
        <v>4069</v>
      </c>
      <c r="G10" s="1">
        <v>4069</v>
      </c>
      <c r="H10" s="1">
        <v>4069</v>
      </c>
      <c r="I10" s="1">
        <v>4069</v>
      </c>
      <c r="J10" s="1">
        <v>4069</v>
      </c>
      <c r="K10" s="1"/>
      <c r="L10" s="1"/>
      <c r="M10" s="1"/>
      <c r="N10" s="1"/>
      <c r="O10" s="1"/>
      <c r="P10" s="1">
        <f t="shared" si="0"/>
        <v>32552</v>
      </c>
    </row>
    <row r="11" spans="1:16" ht="22.5">
      <c r="A11" s="3" t="s">
        <v>498</v>
      </c>
      <c r="B11" s="1"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>
        <f t="shared" si="0"/>
        <v>0</v>
      </c>
    </row>
    <row r="12" spans="1:16" ht="12.75">
      <c r="A12" s="1" t="s">
        <v>506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f t="shared" si="0"/>
        <v>0</v>
      </c>
    </row>
    <row r="13" spans="1:16" ht="12.75">
      <c r="A13" s="1" t="s">
        <v>218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 t="shared" si="0"/>
        <v>0</v>
      </c>
    </row>
    <row r="14" spans="1:16" ht="12.75">
      <c r="A14" s="1" t="s">
        <v>226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si="0"/>
        <v>0</v>
      </c>
    </row>
    <row r="15" spans="1:16" ht="12.75">
      <c r="A15" s="1" t="s">
        <v>499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f t="shared" si="0"/>
        <v>0</v>
      </c>
    </row>
    <row r="16" spans="1:16" ht="12.75">
      <c r="A16" s="1" t="s">
        <v>729</v>
      </c>
      <c r="B16" s="1"/>
      <c r="C16" s="1"/>
      <c r="D16" s="1"/>
      <c r="E16" s="1"/>
      <c r="F16" s="1">
        <v>1423.4</v>
      </c>
      <c r="G16" s="1"/>
      <c r="H16" s="1"/>
      <c r="I16" s="1"/>
      <c r="J16" s="1"/>
      <c r="K16" s="1"/>
      <c r="L16" s="1"/>
      <c r="M16" s="1"/>
      <c r="N16" s="1"/>
      <c r="O16" s="1"/>
      <c r="P16" s="1">
        <v>1423.4</v>
      </c>
    </row>
    <row r="17" spans="1:16" ht="12.75">
      <c r="A17" s="1" t="s">
        <v>492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si="0"/>
        <v>0</v>
      </c>
    </row>
    <row r="18" spans="1:16" ht="12.75">
      <c r="A18" s="1" t="s">
        <v>493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f t="shared" si="0"/>
        <v>0</v>
      </c>
    </row>
    <row r="19" spans="1:16" ht="12.75">
      <c r="A19" s="1" t="s">
        <v>494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f t="shared" si="0"/>
        <v>0</v>
      </c>
    </row>
    <row r="20" spans="1:16" ht="22.5">
      <c r="A20" s="3" t="s">
        <v>533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 t="shared" si="0"/>
        <v>0</v>
      </c>
    </row>
    <row r="21" spans="1:16" ht="12.75">
      <c r="A21" s="3" t="s">
        <v>700</v>
      </c>
      <c r="B21" s="1"/>
      <c r="C21" s="1"/>
      <c r="D21" s="1"/>
      <c r="E21" s="1"/>
      <c r="F21" s="1">
        <v>414.16</v>
      </c>
      <c r="G21" s="1"/>
      <c r="H21" s="1"/>
      <c r="I21" s="1"/>
      <c r="J21" s="1"/>
      <c r="K21" s="1"/>
      <c r="L21" s="1"/>
      <c r="M21" s="1"/>
      <c r="N21" s="1"/>
      <c r="O21" s="1"/>
      <c r="P21" s="1">
        <v>414.16</v>
      </c>
    </row>
    <row r="22" spans="1:16" ht="12.75">
      <c r="A22" s="3" t="s">
        <v>23</v>
      </c>
      <c r="B22" s="1"/>
      <c r="C22" s="1"/>
      <c r="D22" s="1"/>
      <c r="E22" s="1"/>
      <c r="F22" s="1"/>
      <c r="G22" s="1"/>
      <c r="H22" s="1"/>
      <c r="I22" s="1"/>
      <c r="J22" s="1">
        <v>2983.74</v>
      </c>
      <c r="K22" s="1"/>
      <c r="L22" s="1"/>
      <c r="M22" s="1"/>
      <c r="N22" s="1"/>
      <c r="O22" s="1"/>
      <c r="P22" s="1">
        <v>2983.74</v>
      </c>
    </row>
    <row r="23" spans="1:16" ht="22.5">
      <c r="A23" s="3" t="s">
        <v>539</v>
      </c>
      <c r="B23" s="1"/>
      <c r="C23" s="1"/>
      <c r="D23" s="1"/>
      <c r="E23" s="1"/>
      <c r="F23" s="1"/>
      <c r="G23" s="1"/>
      <c r="H23" s="1"/>
      <c r="I23" s="1">
        <v>207.08</v>
      </c>
      <c r="J23" s="1"/>
      <c r="K23" s="1"/>
      <c r="L23" s="1"/>
      <c r="M23" s="1"/>
      <c r="N23" s="1"/>
      <c r="O23" s="1"/>
      <c r="P23" s="1">
        <f t="shared" si="0"/>
        <v>207.08</v>
      </c>
    </row>
    <row r="24" spans="1:16" ht="12.75">
      <c r="A24" s="1" t="s">
        <v>522</v>
      </c>
      <c r="B24" s="1"/>
      <c r="C24" s="1"/>
      <c r="D24" s="1"/>
      <c r="E24" s="1"/>
      <c r="F24" s="1"/>
      <c r="G24" s="1">
        <v>12897</v>
      </c>
      <c r="H24" s="1"/>
      <c r="I24" s="1"/>
      <c r="J24" s="1"/>
      <c r="K24" s="1"/>
      <c r="L24" s="1"/>
      <c r="M24" s="1"/>
      <c r="N24" s="1"/>
      <c r="O24" s="1"/>
      <c r="P24" s="1">
        <f t="shared" si="0"/>
        <v>12897</v>
      </c>
    </row>
    <row r="25" spans="1:16" ht="12.75">
      <c r="A25" s="1" t="s">
        <v>65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3" t="s">
        <v>553</v>
      </c>
      <c r="B26" s="1"/>
      <c r="C26" s="1"/>
      <c r="D26" s="1">
        <v>414.16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>
        <f t="shared" si="0"/>
        <v>414.16</v>
      </c>
    </row>
    <row r="27" spans="1:16" ht="33.75">
      <c r="A27" s="3" t="s">
        <v>554</v>
      </c>
      <c r="B27" s="1"/>
      <c r="C27" s="1">
        <v>1093.32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>
        <f t="shared" si="0"/>
        <v>1093.32</v>
      </c>
    </row>
    <row r="28" spans="1:16" ht="12.75">
      <c r="A28" s="1" t="s">
        <v>555</v>
      </c>
      <c r="B28" s="1"/>
      <c r="C28" s="1">
        <v>414.16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>
        <f t="shared" si="0"/>
        <v>414.16</v>
      </c>
    </row>
    <row r="29" spans="1:16" ht="12.75">
      <c r="A29" s="1" t="s">
        <v>556</v>
      </c>
      <c r="B29" s="1"/>
      <c r="C29" s="1">
        <v>424.16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>
        <f t="shared" si="0"/>
        <v>424.16</v>
      </c>
    </row>
    <row r="30" spans="1:16" ht="22.5">
      <c r="A30" s="3" t="s">
        <v>552</v>
      </c>
      <c r="B30" s="1"/>
      <c r="C30" s="1"/>
      <c r="D30" s="1">
        <v>1636.32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>
        <f t="shared" si="0"/>
        <v>1636.32</v>
      </c>
    </row>
    <row r="31" spans="1:16" ht="12.75">
      <c r="A31" s="3" t="s">
        <v>612</v>
      </c>
      <c r="B31" s="1"/>
      <c r="C31" s="1"/>
      <c r="D31" s="1"/>
      <c r="E31" s="1"/>
      <c r="F31" s="1"/>
      <c r="G31" s="1">
        <v>414.16</v>
      </c>
      <c r="H31" s="1"/>
      <c r="I31" s="1"/>
      <c r="J31" s="1"/>
      <c r="K31" s="1"/>
      <c r="L31" s="1"/>
      <c r="M31" s="1"/>
      <c r="N31" s="1"/>
      <c r="O31" s="1"/>
      <c r="P31" s="1">
        <f t="shared" si="0"/>
        <v>414.16</v>
      </c>
    </row>
    <row r="32" spans="1:16" ht="12.75">
      <c r="A32" s="3" t="s">
        <v>628</v>
      </c>
      <c r="B32" s="1"/>
      <c r="C32" s="1"/>
      <c r="D32" s="1"/>
      <c r="E32" s="1"/>
      <c r="F32" s="1"/>
      <c r="G32" s="1">
        <v>1068.32</v>
      </c>
      <c r="H32" s="1"/>
      <c r="I32" s="1"/>
      <c r="J32" s="1"/>
      <c r="K32" s="1"/>
      <c r="L32" s="1"/>
      <c r="M32" s="1"/>
      <c r="N32" s="1"/>
      <c r="O32" s="1"/>
      <c r="P32" s="1">
        <f t="shared" si="0"/>
        <v>1068.32</v>
      </c>
    </row>
    <row r="33" spans="1:16" ht="12.75">
      <c r="A33" s="3" t="s">
        <v>4</v>
      </c>
      <c r="B33" s="1"/>
      <c r="C33" s="1"/>
      <c r="D33" s="1"/>
      <c r="E33" s="1"/>
      <c r="F33" s="1"/>
      <c r="G33" s="1"/>
      <c r="H33" s="1">
        <v>1661.2</v>
      </c>
      <c r="I33" s="1"/>
      <c r="J33" s="1"/>
      <c r="K33" s="1"/>
      <c r="L33" s="1"/>
      <c r="M33" s="1"/>
      <c r="N33" s="1"/>
      <c r="O33" s="1"/>
      <c r="P33" s="1">
        <f t="shared" si="0"/>
        <v>1661.2</v>
      </c>
    </row>
    <row r="34" spans="1:16" ht="12.75">
      <c r="A34" s="3" t="s">
        <v>528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>
        <f t="shared" si="0"/>
        <v>0</v>
      </c>
    </row>
    <row r="35" spans="1:16" ht="12.75">
      <c r="A35" s="1" t="s">
        <v>415</v>
      </c>
      <c r="B35" s="1"/>
      <c r="C35" s="1">
        <f aca="true" t="shared" si="1" ref="C35:J35">SUM(C4:C30)</f>
        <v>17674.17</v>
      </c>
      <c r="D35" s="1">
        <f t="shared" si="1"/>
        <v>17793.01</v>
      </c>
      <c r="E35" s="1">
        <f t="shared" si="1"/>
        <v>15742.529999999999</v>
      </c>
      <c r="F35" s="1">
        <f t="shared" si="1"/>
        <v>17580.09</v>
      </c>
      <c r="G35" s="1">
        <f t="shared" si="1"/>
        <v>28639.53</v>
      </c>
      <c r="H35" s="1">
        <f t="shared" si="1"/>
        <v>15714.899999999998</v>
      </c>
      <c r="I35" s="1">
        <f t="shared" si="1"/>
        <v>16153.829999999998</v>
      </c>
      <c r="J35" s="1">
        <f t="shared" si="1"/>
        <v>18930.489999999998</v>
      </c>
      <c r="K35" s="1">
        <f>SUM(K4:K34)</f>
        <v>0</v>
      </c>
      <c r="L35" s="1">
        <f>SUM(L4:L30)</f>
        <v>0</v>
      </c>
      <c r="M35" s="1">
        <f>SUM(M4:M30)</f>
        <v>0</v>
      </c>
      <c r="N35" s="1">
        <f>SUM(N4:N30)</f>
        <v>0</v>
      </c>
      <c r="O35" s="1">
        <f>SUM(O4:O30)</f>
        <v>0</v>
      </c>
      <c r="P35" s="1">
        <f>SUM(P4:P34)</f>
        <v>151372.23</v>
      </c>
    </row>
    <row r="36" spans="1:16" s="26" customFormat="1" ht="12.75">
      <c r="A36" s="1" t="s">
        <v>419</v>
      </c>
      <c r="B36" s="1"/>
      <c r="C36" s="1">
        <v>21238.88</v>
      </c>
      <c r="D36" s="1">
        <v>15088.35</v>
      </c>
      <c r="E36" s="1">
        <v>36316.88</v>
      </c>
      <c r="F36" s="1">
        <v>22153.33</v>
      </c>
      <c r="G36" s="1">
        <v>28500.26</v>
      </c>
      <c r="H36" s="1">
        <v>23804.34</v>
      </c>
      <c r="I36" s="1">
        <v>28974.45</v>
      </c>
      <c r="J36" s="1">
        <v>21281.05</v>
      </c>
      <c r="K36" s="1"/>
      <c r="L36" s="1"/>
      <c r="M36" s="1"/>
      <c r="N36" s="1"/>
      <c r="O36" s="1"/>
      <c r="P36" s="1">
        <f>SUM(C36:O36)</f>
        <v>197357.54</v>
      </c>
    </row>
    <row r="37" spans="1:16" s="26" customFormat="1" ht="12.75">
      <c r="A37" s="1" t="s">
        <v>403</v>
      </c>
      <c r="B37" s="79"/>
      <c r="C37" s="79"/>
      <c r="D37" s="79"/>
      <c r="E37" s="79"/>
      <c r="F37" s="79"/>
      <c r="G37" s="1">
        <v>4671.68</v>
      </c>
      <c r="H37" s="1">
        <v>0</v>
      </c>
      <c r="I37" s="1"/>
      <c r="J37" s="1">
        <v>16779.56</v>
      </c>
      <c r="K37" s="1"/>
      <c r="L37" s="1"/>
      <c r="M37" s="1"/>
      <c r="N37" s="1"/>
      <c r="O37" s="1"/>
      <c r="P37" s="1">
        <f>SUM(B37:O37)</f>
        <v>21451.24</v>
      </c>
    </row>
    <row r="38" spans="1:16" s="12" customFormat="1" ht="12.75">
      <c r="A38" s="2" t="s">
        <v>420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>
        <f>SUM(P36+P37+P39+P40-P35+P1)</f>
        <v>47648.70999999999</v>
      </c>
    </row>
    <row r="39" spans="1:16" s="12" customFormat="1" ht="12.75">
      <c r="A39" s="2" t="s">
        <v>603</v>
      </c>
      <c r="B39" s="2"/>
      <c r="C39" s="2"/>
      <c r="D39" s="2"/>
      <c r="E39" s="2"/>
      <c r="F39" s="2">
        <v>378</v>
      </c>
      <c r="G39" s="2"/>
      <c r="H39" s="2">
        <v>400</v>
      </c>
      <c r="I39" s="2"/>
      <c r="J39" s="2">
        <v>240</v>
      </c>
      <c r="K39" s="2"/>
      <c r="L39" s="2"/>
      <c r="M39" s="2"/>
      <c r="N39" s="2"/>
      <c r="O39" s="2"/>
      <c r="P39" s="2">
        <f>SUM(F39:O39)</f>
        <v>1018</v>
      </c>
    </row>
    <row r="40" spans="1:16" ht="12.75">
      <c r="A40" s="1" t="s">
        <v>527</v>
      </c>
      <c r="B40" s="1"/>
      <c r="C40" s="1"/>
      <c r="D40" s="1"/>
      <c r="E40" s="1"/>
      <c r="F40" s="1">
        <v>3675</v>
      </c>
      <c r="G40" s="1">
        <v>1513.5</v>
      </c>
      <c r="H40" s="1">
        <v>600</v>
      </c>
      <c r="I40" s="1"/>
      <c r="J40" s="1">
        <v>140</v>
      </c>
      <c r="K40" s="1"/>
      <c r="L40" s="1"/>
      <c r="M40" s="1"/>
      <c r="N40" s="1"/>
      <c r="O40" s="1"/>
      <c r="P40" s="1">
        <f>SUM(F40:O40)</f>
        <v>5928.5</v>
      </c>
    </row>
    <row r="41" spans="1:16" ht="12.75">
      <c r="A41" s="1"/>
      <c r="B41" s="62" t="s">
        <v>481</v>
      </c>
      <c r="C41" s="63"/>
      <c r="D41" s="63"/>
      <c r="E41" s="63"/>
      <c r="F41" s="64"/>
      <c r="G41" s="1"/>
      <c r="H41" s="1"/>
      <c r="I41" s="1" t="s">
        <v>428</v>
      </c>
      <c r="J41" s="1"/>
      <c r="K41" s="1"/>
      <c r="L41" s="1"/>
      <c r="M41" s="1"/>
      <c r="N41" s="1"/>
      <c r="O41" s="1"/>
      <c r="P41" s="1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5" ht="12.75">
      <c r="G45" s="14" t="s">
        <v>428</v>
      </c>
    </row>
  </sheetData>
  <sheetProtection/>
  <mergeCells count="2">
    <mergeCell ref="B41:F41"/>
    <mergeCell ref="B37:F37"/>
  </mergeCells>
  <printOptions/>
  <pageMargins left="0.7" right="0.7" top="0.75" bottom="0.75" header="0.3" footer="0.3"/>
  <pageSetup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pane xSplit="11" ySplit="11" topLeftCell="L15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C26" sqref="C26"/>
    </sheetView>
  </sheetViews>
  <sheetFormatPr defaultColWidth="9.00390625" defaultRowHeight="12.75"/>
  <cols>
    <col min="1" max="1" width="34.375" style="14" customWidth="1"/>
    <col min="2" max="2" width="13.125" style="14" customWidth="1"/>
    <col min="3" max="3" width="9.00390625" style="14" customWidth="1"/>
    <col min="4" max="4" width="8.75390625" style="14" customWidth="1"/>
    <col min="5" max="5" width="8.625" style="14" customWidth="1"/>
    <col min="6" max="6" width="7.25390625" style="14" customWidth="1"/>
    <col min="7" max="7" width="8.375" style="14" customWidth="1"/>
    <col min="8" max="8" width="9.125" style="14" customWidth="1"/>
    <col min="9" max="9" width="7.25390625" style="14" customWidth="1"/>
    <col min="10" max="13" width="9.125" style="14" customWidth="1"/>
    <col min="14" max="14" width="10.25390625" style="14" customWidth="1"/>
    <col min="15" max="16384" width="9.125" style="14" customWidth="1"/>
  </cols>
  <sheetData>
    <row r="1" spans="1:16" s="12" customFormat="1" ht="12.75">
      <c r="A1" s="2" t="s">
        <v>422</v>
      </c>
      <c r="B1" s="2">
        <v>1016</v>
      </c>
      <c r="C1" s="2"/>
      <c r="D1" s="2"/>
      <c r="E1" s="2"/>
      <c r="F1" s="2"/>
      <c r="G1" s="2"/>
      <c r="H1" s="2"/>
      <c r="I1" s="2"/>
      <c r="J1" s="2"/>
      <c r="K1" s="2" t="s">
        <v>408</v>
      </c>
      <c r="L1" s="2"/>
      <c r="M1" s="2"/>
      <c r="N1" s="68" t="s">
        <v>736</v>
      </c>
      <c r="O1" s="69"/>
      <c r="P1" s="2">
        <v>7831.85</v>
      </c>
    </row>
    <row r="2" spans="1:16" s="12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68" t="s">
        <v>737</v>
      </c>
      <c r="O2" s="69"/>
      <c r="P2" s="2">
        <v>-4368.47</v>
      </c>
    </row>
    <row r="3" spans="1:16" ht="12.75">
      <c r="A3" s="1" t="s">
        <v>421</v>
      </c>
      <c r="B3" s="1">
        <f>PRODUCT(B1,10.65)</f>
        <v>10820.4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12" customFormat="1" ht="12.75">
      <c r="A4" s="2" t="s">
        <v>409</v>
      </c>
      <c r="B4" s="2" t="s">
        <v>410</v>
      </c>
      <c r="C4" s="2" t="s">
        <v>434</v>
      </c>
      <c r="D4" s="2" t="s">
        <v>438</v>
      </c>
      <c r="E4" s="2" t="s">
        <v>437</v>
      </c>
      <c r="F4" s="2" t="s">
        <v>436</v>
      </c>
      <c r="G4" s="2" t="s">
        <v>413</v>
      </c>
      <c r="H4" s="2" t="s">
        <v>414</v>
      </c>
      <c r="I4" s="2" t="s">
        <v>416</v>
      </c>
      <c r="J4" s="2" t="s">
        <v>417</v>
      </c>
      <c r="K4" s="2" t="s">
        <v>423</v>
      </c>
      <c r="L4" s="2" t="s">
        <v>424</v>
      </c>
      <c r="M4" s="2" t="s">
        <v>425</v>
      </c>
      <c r="N4" s="2" t="s">
        <v>426</v>
      </c>
      <c r="O4" s="2" t="s">
        <v>434</v>
      </c>
      <c r="P4" s="2" t="s">
        <v>427</v>
      </c>
    </row>
    <row r="5" spans="1:16" ht="12.75">
      <c r="A5" s="1" t="s">
        <v>411</v>
      </c>
      <c r="B5" s="1">
        <v>1.57</v>
      </c>
      <c r="C5" s="1">
        <v>1595.12</v>
      </c>
      <c r="D5" s="1">
        <v>1595.12</v>
      </c>
      <c r="E5" s="1">
        <v>1595.12</v>
      </c>
      <c r="F5" s="1">
        <v>1595.12</v>
      </c>
      <c r="G5" s="1">
        <v>1595.12</v>
      </c>
      <c r="H5" s="1">
        <v>1595.12</v>
      </c>
      <c r="I5" s="1">
        <v>1595.12</v>
      </c>
      <c r="J5" s="1">
        <v>1595.12</v>
      </c>
      <c r="K5" s="1"/>
      <c r="L5" s="1"/>
      <c r="M5" s="1"/>
      <c r="N5" s="1"/>
      <c r="O5" s="1"/>
      <c r="P5" s="1">
        <f aca="true" t="shared" si="0" ref="P5:P13">SUM(C5:O5)</f>
        <v>12760.96</v>
      </c>
    </row>
    <row r="6" spans="1:16" ht="12.75">
      <c r="A6" s="1" t="s">
        <v>451</v>
      </c>
      <c r="B6" s="1">
        <v>1.6</v>
      </c>
      <c r="C6" s="1">
        <v>1625.6</v>
      </c>
      <c r="D6" s="1">
        <v>1625.6</v>
      </c>
      <c r="E6" s="1">
        <v>1625.6</v>
      </c>
      <c r="F6" s="1">
        <v>1625.6</v>
      </c>
      <c r="G6" s="1">
        <v>1625.6</v>
      </c>
      <c r="H6" s="1">
        <v>1625.6</v>
      </c>
      <c r="I6" s="1">
        <v>1625.6</v>
      </c>
      <c r="J6" s="1">
        <v>1625.6</v>
      </c>
      <c r="K6" s="1"/>
      <c r="L6" s="1"/>
      <c r="M6" s="1"/>
      <c r="N6" s="1"/>
      <c r="O6" s="1"/>
      <c r="P6" s="1">
        <f t="shared" si="0"/>
        <v>13004.800000000001</v>
      </c>
    </row>
    <row r="7" spans="1:16" ht="12.75">
      <c r="A7" s="1" t="s">
        <v>412</v>
      </c>
      <c r="B7" s="1">
        <v>1.6</v>
      </c>
      <c r="C7" s="1">
        <v>1625.6</v>
      </c>
      <c r="D7" s="1">
        <v>1625.6</v>
      </c>
      <c r="E7" s="1">
        <v>1625.6</v>
      </c>
      <c r="F7" s="1">
        <v>1625.6</v>
      </c>
      <c r="G7" s="1">
        <v>1625.6</v>
      </c>
      <c r="H7" s="1">
        <v>1625.6</v>
      </c>
      <c r="I7" s="1">
        <v>1625.6</v>
      </c>
      <c r="J7" s="1">
        <v>1625.6</v>
      </c>
      <c r="K7" s="1"/>
      <c r="L7" s="1"/>
      <c r="M7" s="1"/>
      <c r="N7" s="1"/>
      <c r="O7" s="1"/>
      <c r="P7" s="1">
        <f t="shared" si="0"/>
        <v>13004.800000000001</v>
      </c>
    </row>
    <row r="8" spans="1:16" ht="12.75">
      <c r="A8" s="1" t="s">
        <v>491</v>
      </c>
      <c r="B8" s="1">
        <v>0.44</v>
      </c>
      <c r="C8" s="1">
        <v>447.04</v>
      </c>
      <c r="D8" s="1">
        <v>447.04</v>
      </c>
      <c r="E8" s="1">
        <v>447.04</v>
      </c>
      <c r="F8" s="1">
        <v>447.04</v>
      </c>
      <c r="G8" s="1">
        <v>447.04</v>
      </c>
      <c r="H8" s="1">
        <v>447.04</v>
      </c>
      <c r="I8" s="1">
        <v>447.04</v>
      </c>
      <c r="J8" s="1">
        <v>447.04</v>
      </c>
      <c r="K8" s="1"/>
      <c r="L8" s="1"/>
      <c r="M8" s="1"/>
      <c r="N8" s="1"/>
      <c r="O8" s="1"/>
      <c r="P8" s="1">
        <f t="shared" si="0"/>
        <v>3576.32</v>
      </c>
    </row>
    <row r="9" spans="1:16" ht="12.75">
      <c r="A9" s="1" t="s">
        <v>435</v>
      </c>
      <c r="B9" s="1">
        <v>0.66</v>
      </c>
      <c r="C9" s="1">
        <v>670.56</v>
      </c>
      <c r="D9" s="1">
        <v>670.56</v>
      </c>
      <c r="E9" s="1">
        <v>670.56</v>
      </c>
      <c r="F9" s="1">
        <v>670.56</v>
      </c>
      <c r="G9" s="1">
        <v>670.56</v>
      </c>
      <c r="H9" s="1">
        <v>670.56</v>
      </c>
      <c r="I9" s="1">
        <v>670.56</v>
      </c>
      <c r="J9" s="1">
        <v>670.56</v>
      </c>
      <c r="K9" s="1"/>
      <c r="L9" s="1"/>
      <c r="M9" s="1"/>
      <c r="N9" s="1"/>
      <c r="O9" s="1"/>
      <c r="P9" s="1">
        <f t="shared" si="0"/>
        <v>5364.48</v>
      </c>
    </row>
    <row r="10" spans="1:16" ht="12.75">
      <c r="A10" s="3" t="s">
        <v>478</v>
      </c>
      <c r="B10" s="1"/>
      <c r="C10" s="1">
        <v>2072</v>
      </c>
      <c r="D10" s="1">
        <v>2072</v>
      </c>
      <c r="E10" s="1">
        <v>2072</v>
      </c>
      <c r="F10" s="1">
        <v>950</v>
      </c>
      <c r="G10" s="1">
        <v>950</v>
      </c>
      <c r="H10" s="1">
        <v>950</v>
      </c>
      <c r="I10" s="1">
        <v>950</v>
      </c>
      <c r="J10" s="1">
        <v>950</v>
      </c>
      <c r="K10" s="1"/>
      <c r="L10" s="1"/>
      <c r="M10" s="1"/>
      <c r="N10" s="1"/>
      <c r="O10" s="1"/>
      <c r="P10" s="1">
        <f t="shared" si="0"/>
        <v>10966</v>
      </c>
    </row>
    <row r="11" spans="1:16" ht="12.75">
      <c r="A11" s="1" t="s">
        <v>404</v>
      </c>
      <c r="B11" s="1"/>
      <c r="C11" s="1">
        <v>9243.08</v>
      </c>
      <c r="D11" s="1">
        <v>8198.96</v>
      </c>
      <c r="E11" s="1">
        <v>10170.16</v>
      </c>
      <c r="F11" s="1">
        <v>7185.64</v>
      </c>
      <c r="G11" s="1">
        <v>6406.4</v>
      </c>
      <c r="H11" s="1">
        <v>4185.72</v>
      </c>
      <c r="I11" s="1">
        <v>6131.1</v>
      </c>
      <c r="J11" s="1">
        <v>7453.62</v>
      </c>
      <c r="K11" s="1"/>
      <c r="L11" s="1"/>
      <c r="M11" s="1"/>
      <c r="N11" s="1"/>
      <c r="O11" s="1"/>
      <c r="P11" s="1">
        <f t="shared" si="0"/>
        <v>58974.68000000001</v>
      </c>
    </row>
    <row r="12" spans="1:16" ht="22.5">
      <c r="A12" s="3" t="s">
        <v>695</v>
      </c>
      <c r="B12" s="1"/>
      <c r="C12" s="1"/>
      <c r="D12" s="1"/>
      <c r="E12" s="1">
        <v>1087.12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f t="shared" si="0"/>
        <v>1087.12</v>
      </c>
    </row>
    <row r="13" spans="1:16" ht="22.5">
      <c r="A13" s="3" t="s">
        <v>583</v>
      </c>
      <c r="B13" s="1"/>
      <c r="C13" s="1"/>
      <c r="D13" s="1"/>
      <c r="E13" s="1">
        <v>103.54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 t="shared" si="0"/>
        <v>103.54</v>
      </c>
    </row>
    <row r="14" spans="1:16" ht="22.5">
      <c r="A14" s="3" t="s">
        <v>756</v>
      </c>
      <c r="B14" s="1"/>
      <c r="C14" s="1"/>
      <c r="D14" s="1"/>
      <c r="E14" s="1"/>
      <c r="F14" s="1"/>
      <c r="G14" s="1"/>
      <c r="H14" s="1">
        <v>416.16</v>
      </c>
      <c r="I14" s="1"/>
      <c r="J14" s="1"/>
      <c r="K14" s="1"/>
      <c r="L14" s="1"/>
      <c r="M14" s="1"/>
      <c r="N14" s="1"/>
      <c r="O14" s="1"/>
      <c r="P14" s="1">
        <v>416.16</v>
      </c>
    </row>
    <row r="15" spans="1:16" ht="22.5">
      <c r="A15" s="3" t="s">
        <v>41</v>
      </c>
      <c r="B15" s="1"/>
      <c r="C15" s="1"/>
      <c r="D15" s="1"/>
      <c r="E15" s="1"/>
      <c r="F15" s="1"/>
      <c r="G15" s="1"/>
      <c r="H15" s="1"/>
      <c r="I15" s="1"/>
      <c r="J15" s="1">
        <v>69.03</v>
      </c>
      <c r="K15" s="1"/>
      <c r="L15" s="1"/>
      <c r="M15" s="1"/>
      <c r="N15" s="1"/>
      <c r="O15" s="1"/>
      <c r="P15" s="1">
        <v>69.03</v>
      </c>
    </row>
    <row r="16" spans="1:16" ht="12.75">
      <c r="A16" s="3" t="s">
        <v>694</v>
      </c>
      <c r="B16" s="1"/>
      <c r="C16" s="1"/>
      <c r="D16" s="1"/>
      <c r="E16" s="1"/>
      <c r="F16" s="1">
        <v>103.54</v>
      </c>
      <c r="G16" s="1"/>
      <c r="H16" s="1"/>
      <c r="I16" s="1"/>
      <c r="J16" s="1"/>
      <c r="K16" s="1"/>
      <c r="L16" s="1"/>
      <c r="M16" s="1"/>
      <c r="N16" s="1"/>
      <c r="O16" s="1"/>
      <c r="P16" s="1">
        <v>103.54</v>
      </c>
    </row>
    <row r="17" spans="1:16" ht="22.5">
      <c r="A17" s="3" t="s">
        <v>786</v>
      </c>
      <c r="B17" s="1"/>
      <c r="C17" s="1"/>
      <c r="D17" s="1"/>
      <c r="E17" s="1"/>
      <c r="F17" s="1"/>
      <c r="G17" s="1"/>
      <c r="H17" s="1">
        <v>207.08</v>
      </c>
      <c r="I17" s="1"/>
      <c r="J17" s="1"/>
      <c r="K17" s="1"/>
      <c r="L17" s="1"/>
      <c r="M17" s="1"/>
      <c r="N17" s="1"/>
      <c r="O17" s="1"/>
      <c r="P17" s="1">
        <v>207.08</v>
      </c>
    </row>
    <row r="18" spans="1:16" ht="12.75">
      <c r="A18" s="3" t="s">
        <v>584</v>
      </c>
      <c r="B18" s="1"/>
      <c r="C18" s="1"/>
      <c r="D18" s="1"/>
      <c r="E18" s="1">
        <v>474.16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f>SUM(C18:O18)</f>
        <v>474.16</v>
      </c>
    </row>
    <row r="19" spans="1:16" ht="12.75">
      <c r="A19" s="1" t="s">
        <v>415</v>
      </c>
      <c r="B19" s="1"/>
      <c r="C19" s="1">
        <f>SUM(C5+C6+C7+C8+C9+C10)</f>
        <v>8035.92</v>
      </c>
      <c r="D19" s="1">
        <f>D5+D6+D7+D8+D9+D10</f>
        <v>8035.92</v>
      </c>
      <c r="E19" s="1">
        <f>E5+E6+E7+E8+E9+E10+E12+E13+E18</f>
        <v>9700.740000000002</v>
      </c>
      <c r="F19" s="1">
        <f>F5+F6+F7+F8+F9+F10+F16</f>
        <v>7017.46</v>
      </c>
      <c r="G19" s="1">
        <f>G5+G6+G7+G8+G9+G10</f>
        <v>6913.92</v>
      </c>
      <c r="H19" s="1">
        <f>SUM(H5:H18)</f>
        <v>11722.88</v>
      </c>
      <c r="I19" s="1">
        <f>SUM(I5:I18)</f>
        <v>13045.02</v>
      </c>
      <c r="J19" s="1">
        <f>SUM(J5:J18)</f>
        <v>14436.570000000002</v>
      </c>
      <c r="K19" s="1">
        <f>SUM(K5:K18)</f>
        <v>0</v>
      </c>
      <c r="L19" s="1">
        <f>SUM(L5:L10)</f>
        <v>0</v>
      </c>
      <c r="M19" s="1">
        <f>SUM(M5:M10)+M12</f>
        <v>0</v>
      </c>
      <c r="N19" s="1">
        <v>0</v>
      </c>
      <c r="O19" s="1">
        <f>SUM(O5:O18)</f>
        <v>0</v>
      </c>
      <c r="P19" s="1">
        <f>SUM(C19:O19)</f>
        <v>78908.43000000001</v>
      </c>
    </row>
    <row r="20" spans="1:16" ht="12.75">
      <c r="A20" s="1" t="s">
        <v>275</v>
      </c>
      <c r="B20" s="1"/>
      <c r="C20" s="1">
        <v>7363.44</v>
      </c>
      <c r="D20" s="1">
        <v>8245.16</v>
      </c>
      <c r="E20" s="1">
        <v>9492.56</v>
      </c>
      <c r="F20" s="1">
        <v>4404.4</v>
      </c>
      <c r="G20" s="1">
        <v>13952.09</v>
      </c>
      <c r="H20" s="1">
        <v>5408.16</v>
      </c>
      <c r="I20" s="1">
        <v>4454.13</v>
      </c>
      <c r="J20" s="1">
        <v>8264.38</v>
      </c>
      <c r="K20" s="1"/>
      <c r="L20" s="1"/>
      <c r="M20" s="1"/>
      <c r="N20" s="1"/>
      <c r="O20" s="1"/>
      <c r="P20" s="1">
        <f>SUM(C20:O20)</f>
        <v>61584.31999999999</v>
      </c>
    </row>
    <row r="21" spans="1:16" ht="22.5">
      <c r="A21" s="3" t="s">
        <v>739</v>
      </c>
      <c r="B21" s="1"/>
      <c r="C21" s="1">
        <v>9670.24</v>
      </c>
      <c r="D21" s="1">
        <v>9366.71</v>
      </c>
      <c r="E21" s="1">
        <v>13143.95</v>
      </c>
      <c r="F21" s="1">
        <v>9149.33</v>
      </c>
      <c r="G21" s="1">
        <v>12379.22</v>
      </c>
      <c r="H21" s="1">
        <v>10820.43</v>
      </c>
      <c r="I21" s="1">
        <v>8121.72</v>
      </c>
      <c r="J21" s="1">
        <v>13518.14</v>
      </c>
      <c r="K21" s="1"/>
      <c r="L21" s="1"/>
      <c r="M21" s="1"/>
      <c r="N21" s="1"/>
      <c r="O21" s="1"/>
      <c r="P21" s="1">
        <f>SUM(C21:O21)</f>
        <v>86169.73999999999</v>
      </c>
    </row>
    <row r="22" spans="1:16" s="12" customFormat="1" ht="12.75">
      <c r="A22" s="2" t="s">
        <v>738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>
        <f>P21+P26+P1-P5-P6-P7-P8-P9-P10-P15-P16-P17-P18</f>
        <v>39539.36999999997</v>
      </c>
    </row>
    <row r="23" spans="1:16" ht="12.75">
      <c r="A23" s="2" t="s">
        <v>224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">
        <f>P20-P11+P2</f>
        <v>-1758.8300000000154</v>
      </c>
    </row>
    <row r="24" spans="1:16" ht="12.75">
      <c r="A24" s="1"/>
      <c r="B24" s="62" t="s">
        <v>481</v>
      </c>
      <c r="C24" s="63"/>
      <c r="D24" s="63"/>
      <c r="E24" s="63"/>
      <c r="F24" s="64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 t="s">
        <v>598</v>
      </c>
      <c r="B26" s="1"/>
      <c r="C26" s="1"/>
      <c r="D26" s="1"/>
      <c r="E26" s="1">
        <v>1100.02</v>
      </c>
      <c r="F26" s="1">
        <v>1939.8</v>
      </c>
      <c r="G26" s="1"/>
      <c r="H26" s="1">
        <v>971.18</v>
      </c>
      <c r="I26" s="1"/>
      <c r="J26" s="1">
        <f>323.72+734.23</f>
        <v>1057.95</v>
      </c>
      <c r="K26" s="1"/>
      <c r="L26" s="1"/>
      <c r="M26" s="1"/>
      <c r="N26" s="1"/>
      <c r="O26" s="1"/>
      <c r="P26" s="1">
        <f>SUM(C26:O26)</f>
        <v>5068.95</v>
      </c>
    </row>
    <row r="27" ht="12.75">
      <c r="P27" s="14" t="s">
        <v>599</v>
      </c>
    </row>
    <row r="28" ht="12.75">
      <c r="G28" s="14" t="s">
        <v>428</v>
      </c>
    </row>
  </sheetData>
  <sheetProtection/>
  <mergeCells count="3">
    <mergeCell ref="B24:F24"/>
    <mergeCell ref="N1:O1"/>
    <mergeCell ref="N2:O2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pane xSplit="5" ySplit="15" topLeftCell="F22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L38" sqref="L38"/>
    </sheetView>
  </sheetViews>
  <sheetFormatPr defaultColWidth="9.00390625" defaultRowHeight="12.75"/>
  <cols>
    <col min="1" max="1" width="34.375" style="14" customWidth="1"/>
    <col min="2" max="2" width="13.125" style="14" customWidth="1"/>
    <col min="3" max="3" width="7.25390625" style="14" customWidth="1"/>
    <col min="4" max="4" width="8.75390625" style="14" customWidth="1"/>
    <col min="5" max="5" width="7.125" style="14" customWidth="1"/>
    <col min="6" max="6" width="7.25390625" style="14" customWidth="1"/>
    <col min="7" max="7" width="8.375" style="14" customWidth="1"/>
    <col min="8" max="8" width="9.125" style="14" customWidth="1"/>
    <col min="9" max="9" width="7.25390625" style="14" customWidth="1"/>
    <col min="10" max="16384" width="9.125" style="14" customWidth="1"/>
  </cols>
  <sheetData>
    <row r="1" spans="1:16" s="12" customFormat="1" ht="12.75">
      <c r="A1" s="2" t="s">
        <v>422</v>
      </c>
      <c r="B1" s="2">
        <v>3018.97</v>
      </c>
      <c r="C1" s="2"/>
      <c r="D1" s="2"/>
      <c r="E1" s="2"/>
      <c r="F1" s="2"/>
      <c r="G1" s="2"/>
      <c r="H1" s="2"/>
      <c r="I1" s="2"/>
      <c r="J1" s="2"/>
      <c r="K1" s="2" t="s">
        <v>396</v>
      </c>
      <c r="L1" s="2"/>
      <c r="M1" s="2"/>
      <c r="N1" s="2"/>
      <c r="O1" s="2"/>
      <c r="P1" s="2">
        <v>12919.14</v>
      </c>
    </row>
    <row r="2" spans="1:16" ht="12.75">
      <c r="A2" s="1" t="s">
        <v>421</v>
      </c>
      <c r="B2" s="1">
        <f>PRODUCT(B1,10.65)</f>
        <v>32152.0305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2" customFormat="1" ht="12.75">
      <c r="A3" s="2" t="s">
        <v>409</v>
      </c>
      <c r="B3" s="2" t="s">
        <v>410</v>
      </c>
      <c r="C3" s="2" t="s">
        <v>434</v>
      </c>
      <c r="D3" s="2" t="s">
        <v>438</v>
      </c>
      <c r="E3" s="2" t="s">
        <v>437</v>
      </c>
      <c r="F3" s="2" t="s">
        <v>436</v>
      </c>
      <c r="G3" s="2" t="s">
        <v>413</v>
      </c>
      <c r="H3" s="2" t="s">
        <v>414</v>
      </c>
      <c r="I3" s="2" t="s">
        <v>416</v>
      </c>
      <c r="J3" s="2" t="s">
        <v>417</v>
      </c>
      <c r="K3" s="2" t="s">
        <v>423</v>
      </c>
      <c r="L3" s="2" t="s">
        <v>424</v>
      </c>
      <c r="M3" s="2" t="s">
        <v>425</v>
      </c>
      <c r="N3" s="2" t="s">
        <v>426</v>
      </c>
      <c r="O3" s="2" t="s">
        <v>434</v>
      </c>
      <c r="P3" s="2" t="s">
        <v>427</v>
      </c>
    </row>
    <row r="4" spans="1:16" ht="12.75">
      <c r="A4" s="1" t="s">
        <v>411</v>
      </c>
      <c r="B4" s="1">
        <v>1.57</v>
      </c>
      <c r="C4" s="1">
        <v>4739.78</v>
      </c>
      <c r="D4" s="1">
        <v>4739.78</v>
      </c>
      <c r="E4" s="1">
        <v>4739.78</v>
      </c>
      <c r="F4" s="1">
        <v>4739.78</v>
      </c>
      <c r="G4" s="1">
        <v>4739.78</v>
      </c>
      <c r="H4" s="1">
        <f>B4*B1</f>
        <v>4739.7829</v>
      </c>
      <c r="I4" s="1">
        <v>4739.78</v>
      </c>
      <c r="J4" s="1">
        <v>4739.78</v>
      </c>
      <c r="K4" s="1"/>
      <c r="L4" s="1"/>
      <c r="M4" s="1"/>
      <c r="N4" s="1"/>
      <c r="O4" s="1"/>
      <c r="P4" s="1">
        <f>SUM(C4:O4)</f>
        <v>37918.2429</v>
      </c>
    </row>
    <row r="5" spans="1:16" ht="12.75">
      <c r="A5" s="1" t="s">
        <v>451</v>
      </c>
      <c r="B5" s="1">
        <v>1.6</v>
      </c>
      <c r="C5" s="1">
        <v>4830.35</v>
      </c>
      <c r="D5" s="1">
        <v>4830.35</v>
      </c>
      <c r="E5" s="1">
        <v>4830.35</v>
      </c>
      <c r="F5" s="1">
        <v>4830.35</v>
      </c>
      <c r="G5" s="1">
        <v>4830.35</v>
      </c>
      <c r="H5" s="1">
        <f>B5*B1</f>
        <v>4830.352</v>
      </c>
      <c r="I5" s="1">
        <v>4830.35</v>
      </c>
      <c r="J5" s="1">
        <v>4830.35</v>
      </c>
      <c r="K5" s="1"/>
      <c r="L5" s="1"/>
      <c r="M5" s="1"/>
      <c r="N5" s="1"/>
      <c r="O5" s="1"/>
      <c r="P5" s="1">
        <f aca="true" t="shared" si="0" ref="P5:P42">SUM(C5:O5)</f>
        <v>38642.801999999996</v>
      </c>
    </row>
    <row r="6" spans="1:16" ht="12.75">
      <c r="A6" s="1" t="s">
        <v>412</v>
      </c>
      <c r="B6" s="1">
        <v>1.6</v>
      </c>
      <c r="C6" s="1">
        <v>4830.35</v>
      </c>
      <c r="D6" s="1">
        <v>4830.35</v>
      </c>
      <c r="E6" s="1">
        <v>4830.35</v>
      </c>
      <c r="F6" s="1">
        <v>4830.35</v>
      </c>
      <c r="G6" s="1">
        <v>4830.35</v>
      </c>
      <c r="H6" s="1">
        <f>B6*B1</f>
        <v>4830.352</v>
      </c>
      <c r="I6" s="1">
        <v>4830.35</v>
      </c>
      <c r="J6" s="1">
        <v>4830.35</v>
      </c>
      <c r="K6" s="1"/>
      <c r="L6" s="1"/>
      <c r="M6" s="1"/>
      <c r="N6" s="1"/>
      <c r="O6" s="1"/>
      <c r="P6" s="1">
        <f t="shared" si="0"/>
        <v>38642.801999999996</v>
      </c>
    </row>
    <row r="7" spans="1:16" ht="12.75">
      <c r="A7" s="1" t="s">
        <v>491</v>
      </c>
      <c r="B7" s="1">
        <v>0.44</v>
      </c>
      <c r="C7" s="1">
        <v>1328.35</v>
      </c>
      <c r="D7" s="1">
        <v>1328.35</v>
      </c>
      <c r="E7" s="1">
        <v>1328.35</v>
      </c>
      <c r="F7" s="1">
        <v>1328.35</v>
      </c>
      <c r="G7" s="1">
        <v>1328.35</v>
      </c>
      <c r="H7" s="1">
        <f>B7*B1</f>
        <v>1328.3468</v>
      </c>
      <c r="I7" s="1">
        <v>1328.35</v>
      </c>
      <c r="J7" s="1">
        <v>1328.35</v>
      </c>
      <c r="K7" s="1"/>
      <c r="L7" s="1"/>
      <c r="M7" s="1"/>
      <c r="N7" s="1"/>
      <c r="O7" s="1"/>
      <c r="P7" s="1">
        <f t="shared" si="0"/>
        <v>10626.7968</v>
      </c>
    </row>
    <row r="8" spans="1:16" ht="12.75">
      <c r="A8" s="1" t="s">
        <v>435</v>
      </c>
      <c r="B8" s="1">
        <v>0.66</v>
      </c>
      <c r="C8" s="1">
        <v>1992.52</v>
      </c>
      <c r="D8" s="1">
        <v>1992.52</v>
      </c>
      <c r="E8" s="1">
        <v>1992.52</v>
      </c>
      <c r="F8" s="1">
        <v>1992.52</v>
      </c>
      <c r="G8" s="1">
        <v>1992.52</v>
      </c>
      <c r="H8" s="1">
        <f>B8*B1</f>
        <v>1992.5202</v>
      </c>
      <c r="I8" s="1">
        <v>1992.52</v>
      </c>
      <c r="J8" s="1">
        <v>1992.52</v>
      </c>
      <c r="K8" s="1"/>
      <c r="L8" s="1"/>
      <c r="M8" s="1"/>
      <c r="N8" s="1"/>
      <c r="O8" s="1"/>
      <c r="P8" s="1">
        <f t="shared" si="0"/>
        <v>15940.160200000002</v>
      </c>
    </row>
    <row r="9" spans="1:16" ht="12.75">
      <c r="A9" s="3" t="s">
        <v>429</v>
      </c>
      <c r="B9" s="1"/>
      <c r="C9" s="1">
        <v>138.87</v>
      </c>
      <c r="D9" s="1">
        <v>138.87</v>
      </c>
      <c r="E9" s="1">
        <v>138.87</v>
      </c>
      <c r="F9" s="1">
        <v>138.87</v>
      </c>
      <c r="G9" s="1">
        <v>138.87</v>
      </c>
      <c r="H9" s="1">
        <v>96.61</v>
      </c>
      <c r="I9" s="1">
        <v>437.75</v>
      </c>
      <c r="J9" s="1">
        <v>437.75</v>
      </c>
      <c r="K9" s="1"/>
      <c r="L9" s="1"/>
      <c r="M9" s="1"/>
      <c r="N9" s="1"/>
      <c r="O9" s="1"/>
      <c r="P9" s="1">
        <f t="shared" si="0"/>
        <v>1666.46</v>
      </c>
    </row>
    <row r="10" spans="1:16" ht="12.75">
      <c r="A10" s="3" t="s">
        <v>478</v>
      </c>
      <c r="B10" s="1"/>
      <c r="C10" s="1">
        <v>2712</v>
      </c>
      <c r="D10" s="1">
        <v>2712</v>
      </c>
      <c r="E10" s="1">
        <v>2712</v>
      </c>
      <c r="F10" s="1">
        <v>2712</v>
      </c>
      <c r="G10" s="1">
        <v>2712</v>
      </c>
      <c r="H10" s="1">
        <v>2712</v>
      </c>
      <c r="I10" s="1">
        <v>2712</v>
      </c>
      <c r="J10" s="1">
        <v>2712</v>
      </c>
      <c r="K10" s="1"/>
      <c r="L10" s="1"/>
      <c r="M10" s="1"/>
      <c r="N10" s="1"/>
      <c r="O10" s="1"/>
      <c r="P10" s="1">
        <f t="shared" si="0"/>
        <v>21696</v>
      </c>
    </row>
    <row r="11" spans="1:16" ht="12.75">
      <c r="A11" s="1" t="s">
        <v>263</v>
      </c>
      <c r="B11" s="1"/>
      <c r="C11" s="1">
        <v>500</v>
      </c>
      <c r="D11" s="1">
        <v>500</v>
      </c>
      <c r="E11" s="1">
        <v>500</v>
      </c>
      <c r="F11" s="1">
        <v>500</v>
      </c>
      <c r="G11" s="1"/>
      <c r="H11" s="1"/>
      <c r="I11" s="1"/>
      <c r="J11" s="1"/>
      <c r="K11" s="1"/>
      <c r="L11" s="1"/>
      <c r="M11" s="1"/>
      <c r="N11" s="1"/>
      <c r="O11" s="1"/>
      <c r="P11" s="1">
        <f t="shared" si="0"/>
        <v>2000</v>
      </c>
    </row>
    <row r="12" spans="1:16" ht="35.25" customHeight="1">
      <c r="A12" s="3" t="s">
        <v>267</v>
      </c>
      <c r="B12" s="1"/>
      <c r="C12" s="1"/>
      <c r="D12" s="1"/>
      <c r="E12" s="1"/>
      <c r="F12" s="1"/>
      <c r="G12" s="1">
        <v>15242</v>
      </c>
      <c r="H12" s="1"/>
      <c r="I12" s="1"/>
      <c r="J12" s="1"/>
      <c r="K12" s="1"/>
      <c r="L12" s="1"/>
      <c r="M12" s="1"/>
      <c r="N12" s="1"/>
      <c r="O12" s="1"/>
      <c r="P12" s="1">
        <f t="shared" si="0"/>
        <v>15242</v>
      </c>
    </row>
    <row r="13" spans="1:16" ht="12.75">
      <c r="A13" s="3" t="s">
        <v>490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 t="shared" si="0"/>
        <v>0</v>
      </c>
    </row>
    <row r="14" spans="1:16" ht="12.75">
      <c r="A14" s="3" t="s">
        <v>226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si="0"/>
        <v>0</v>
      </c>
    </row>
    <row r="15" spans="1:16" ht="12.75">
      <c r="A15" s="3" t="s">
        <v>492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f t="shared" si="0"/>
        <v>0</v>
      </c>
    </row>
    <row r="16" spans="1:16" ht="12.75">
      <c r="A16" s="3" t="s">
        <v>231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f t="shared" si="0"/>
        <v>0</v>
      </c>
    </row>
    <row r="17" spans="1:16" ht="12.75">
      <c r="A17" s="3" t="s">
        <v>494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si="0"/>
        <v>0</v>
      </c>
    </row>
    <row r="18" spans="1:16" ht="25.5" customHeight="1">
      <c r="A18" s="3" t="s">
        <v>557</v>
      </c>
      <c r="B18" s="1"/>
      <c r="C18" s="1"/>
      <c r="D18" s="1"/>
      <c r="E18" s="1">
        <v>7271.1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f t="shared" si="0"/>
        <v>7271.1</v>
      </c>
    </row>
    <row r="19" spans="1:16" ht="12.75">
      <c r="A19" s="3" t="s">
        <v>558</v>
      </c>
      <c r="B19" s="1"/>
      <c r="C19" s="1"/>
      <c r="D19" s="1"/>
      <c r="E19" s="1">
        <v>4430.5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f t="shared" si="0"/>
        <v>4430.5</v>
      </c>
    </row>
    <row r="20" spans="1:16" ht="22.5">
      <c r="A20" s="3" t="s">
        <v>559</v>
      </c>
      <c r="B20" s="1"/>
      <c r="C20" s="1"/>
      <c r="D20" s="1"/>
      <c r="E20" s="1">
        <v>207.08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 t="shared" si="0"/>
        <v>207.08</v>
      </c>
    </row>
    <row r="21" spans="1:16" ht="12.75">
      <c r="A21" s="3" t="s">
        <v>560</v>
      </c>
      <c r="B21" s="1"/>
      <c r="C21" s="1"/>
      <c r="D21" s="1">
        <v>828.32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f t="shared" si="0"/>
        <v>828.32</v>
      </c>
    </row>
    <row r="22" spans="1:16" ht="22.5">
      <c r="A22" s="3" t="s">
        <v>561</v>
      </c>
      <c r="B22" s="1"/>
      <c r="C22" s="1"/>
      <c r="D22" s="1">
        <v>2909.96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f t="shared" si="0"/>
        <v>2909.96</v>
      </c>
    </row>
    <row r="23" spans="1:16" ht="12.75">
      <c r="A23" s="3" t="s">
        <v>22</v>
      </c>
      <c r="B23" s="1"/>
      <c r="C23" s="1"/>
      <c r="D23" s="1"/>
      <c r="E23" s="1"/>
      <c r="F23" s="1"/>
      <c r="G23" s="1"/>
      <c r="H23" s="1"/>
      <c r="I23" s="1"/>
      <c r="J23" s="1">
        <v>2623.04</v>
      </c>
      <c r="K23" s="1"/>
      <c r="L23" s="1"/>
      <c r="M23" s="1"/>
      <c r="N23" s="1"/>
      <c r="O23" s="1"/>
      <c r="P23" s="1">
        <v>2623.04</v>
      </c>
    </row>
    <row r="24" spans="1:16" ht="12.75">
      <c r="A24" s="3" t="s">
        <v>676</v>
      </c>
      <c r="B24" s="1"/>
      <c r="C24" s="1"/>
      <c r="D24" s="1"/>
      <c r="E24" s="1"/>
      <c r="F24" s="1">
        <v>68016</v>
      </c>
      <c r="G24" s="1"/>
      <c r="H24" s="1"/>
      <c r="I24" s="1"/>
      <c r="J24" s="1"/>
      <c r="K24" s="1"/>
      <c r="L24" s="1"/>
      <c r="M24" s="1"/>
      <c r="N24" s="1"/>
      <c r="O24" s="1"/>
      <c r="P24" s="1">
        <f t="shared" si="0"/>
        <v>68016</v>
      </c>
    </row>
    <row r="25" spans="1:16" ht="12.75">
      <c r="A25" s="3" t="s">
        <v>52</v>
      </c>
      <c r="B25" s="1"/>
      <c r="C25" s="1"/>
      <c r="D25" s="1"/>
      <c r="E25" s="1"/>
      <c r="F25" s="1"/>
      <c r="G25" s="1"/>
      <c r="H25" s="1"/>
      <c r="I25" s="1"/>
      <c r="J25" s="1">
        <v>3079.78</v>
      </c>
      <c r="K25" s="1"/>
      <c r="L25" s="1"/>
      <c r="M25" s="1"/>
      <c r="N25" s="1"/>
      <c r="O25" s="1"/>
      <c r="P25" s="1">
        <v>3079.78</v>
      </c>
    </row>
    <row r="26" spans="1:16" ht="12.75">
      <c r="A26" s="3" t="s">
        <v>765</v>
      </c>
      <c r="B26" s="1"/>
      <c r="C26" s="1"/>
      <c r="D26" s="1"/>
      <c r="E26" s="1"/>
      <c r="F26" s="1"/>
      <c r="G26" s="1"/>
      <c r="H26" s="1">
        <v>4261.28</v>
      </c>
      <c r="I26" s="1"/>
      <c r="J26" s="1"/>
      <c r="K26" s="1"/>
      <c r="L26" s="1"/>
      <c r="M26" s="1"/>
      <c r="N26" s="1"/>
      <c r="O26" s="1"/>
      <c r="P26" s="1">
        <v>4261.28</v>
      </c>
    </row>
    <row r="27" spans="1:16" ht="12.75">
      <c r="A27" s="3" t="s">
        <v>562</v>
      </c>
      <c r="B27" s="1"/>
      <c r="C27" s="1"/>
      <c r="D27" s="1">
        <v>2824.96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>
        <f t="shared" si="0"/>
        <v>2824.96</v>
      </c>
    </row>
    <row r="28" spans="1:16" ht="22.5">
      <c r="A28" s="3" t="s">
        <v>72</v>
      </c>
      <c r="B28" s="1"/>
      <c r="C28" s="1"/>
      <c r="D28" s="1"/>
      <c r="E28" s="1"/>
      <c r="F28" s="1"/>
      <c r="G28" s="1"/>
      <c r="H28" s="1"/>
      <c r="I28" s="1">
        <v>120.74</v>
      </c>
      <c r="J28" s="1"/>
      <c r="K28" s="1"/>
      <c r="L28" s="1"/>
      <c r="M28" s="1"/>
      <c r="N28" s="1"/>
      <c r="O28" s="1"/>
      <c r="P28" s="1">
        <v>120.74</v>
      </c>
    </row>
    <row r="29" spans="1:16" ht="12.75">
      <c r="A29" s="3" t="s">
        <v>9</v>
      </c>
      <c r="B29" s="1"/>
      <c r="C29" s="1"/>
      <c r="D29" s="1"/>
      <c r="E29" s="1"/>
      <c r="F29" s="1"/>
      <c r="G29" s="1"/>
      <c r="H29" s="1"/>
      <c r="I29" s="1"/>
      <c r="J29" s="1">
        <v>1656.64</v>
      </c>
      <c r="K29" s="1"/>
      <c r="L29" s="1"/>
      <c r="M29" s="1"/>
      <c r="N29" s="1"/>
      <c r="O29" s="1"/>
      <c r="P29" s="1">
        <v>1656.64</v>
      </c>
    </row>
    <row r="30" spans="1:16" ht="12.75">
      <c r="A30" s="3" t="s">
        <v>48</v>
      </c>
      <c r="B30" s="1"/>
      <c r="C30" s="1"/>
      <c r="D30" s="1"/>
      <c r="E30" s="1"/>
      <c r="F30" s="1"/>
      <c r="G30" s="1"/>
      <c r="H30" s="1"/>
      <c r="I30" s="1"/>
      <c r="J30" s="1">
        <v>937.04</v>
      </c>
      <c r="K30" s="1"/>
      <c r="L30" s="1"/>
      <c r="M30" s="1"/>
      <c r="N30" s="1"/>
      <c r="O30" s="1"/>
      <c r="P30" s="1">
        <v>937.04</v>
      </c>
    </row>
    <row r="31" spans="1:16" ht="22.5">
      <c r="A31" s="3" t="s">
        <v>563</v>
      </c>
      <c r="B31" s="1"/>
      <c r="C31" s="1">
        <v>5548.84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>
        <f t="shared" si="0"/>
        <v>5548.84</v>
      </c>
    </row>
    <row r="32" spans="1:16" ht="22.5">
      <c r="A32" s="3" t="s">
        <v>608</v>
      </c>
      <c r="B32" s="1"/>
      <c r="C32" s="1">
        <v>2712</v>
      </c>
      <c r="D32" s="1">
        <v>2712</v>
      </c>
      <c r="E32" s="1">
        <v>2712</v>
      </c>
      <c r="F32" s="1">
        <v>2712</v>
      </c>
      <c r="G32" s="1">
        <v>2712</v>
      </c>
      <c r="H32" s="1">
        <v>2712</v>
      </c>
      <c r="I32" s="1">
        <v>2712</v>
      </c>
      <c r="J32" s="1">
        <v>2712</v>
      </c>
      <c r="K32" s="1"/>
      <c r="L32" s="1"/>
      <c r="M32" s="1"/>
      <c r="N32" s="1"/>
      <c r="O32" s="1"/>
      <c r="P32" s="1">
        <f t="shared" si="0"/>
        <v>21696</v>
      </c>
    </row>
    <row r="33" spans="1:16" ht="12.75">
      <c r="A33" s="3" t="s">
        <v>625</v>
      </c>
      <c r="B33" s="1"/>
      <c r="C33" s="1"/>
      <c r="D33" s="1"/>
      <c r="E33" s="1"/>
      <c r="F33" s="1"/>
      <c r="G33" s="1">
        <v>771.16</v>
      </c>
      <c r="H33" s="1"/>
      <c r="I33" s="1"/>
      <c r="J33" s="1"/>
      <c r="K33" s="1"/>
      <c r="L33" s="1"/>
      <c r="M33" s="1"/>
      <c r="N33" s="1"/>
      <c r="O33" s="1"/>
      <c r="P33" s="1">
        <f t="shared" si="0"/>
        <v>771.16</v>
      </c>
    </row>
    <row r="34" spans="1:16" ht="12.75">
      <c r="A34" s="3" t="s">
        <v>22</v>
      </c>
      <c r="B34" s="1"/>
      <c r="C34" s="1"/>
      <c r="D34" s="1"/>
      <c r="E34" s="1"/>
      <c r="F34" s="1"/>
      <c r="G34" s="1"/>
      <c r="H34" s="1"/>
      <c r="I34" s="1">
        <v>908.32</v>
      </c>
      <c r="J34" s="1"/>
      <c r="K34" s="1"/>
      <c r="L34" s="1"/>
      <c r="M34" s="1"/>
      <c r="N34" s="1"/>
      <c r="O34" s="1"/>
      <c r="P34" s="1">
        <v>908.32</v>
      </c>
    </row>
    <row r="35" spans="1:16" ht="12.75">
      <c r="A35" s="3" t="s">
        <v>740</v>
      </c>
      <c r="B35" s="1"/>
      <c r="C35" s="1"/>
      <c r="D35" s="1"/>
      <c r="E35" s="1"/>
      <c r="F35" s="1"/>
      <c r="G35" s="1"/>
      <c r="H35" s="1">
        <v>6408.78</v>
      </c>
      <c r="I35" s="1"/>
      <c r="J35" s="1"/>
      <c r="K35" s="1"/>
      <c r="L35" s="1"/>
      <c r="M35" s="1"/>
      <c r="N35" s="1"/>
      <c r="O35" s="1"/>
      <c r="P35" s="1">
        <f t="shared" si="0"/>
        <v>6408.78</v>
      </c>
    </row>
    <row r="36" spans="1:16" ht="12.75">
      <c r="A36" s="3" t="s">
        <v>662</v>
      </c>
      <c r="B36" s="1"/>
      <c r="C36" s="1"/>
      <c r="D36" s="1"/>
      <c r="E36" s="1"/>
      <c r="F36" s="1">
        <f>1131.66+840.39</f>
        <v>1972.0500000000002</v>
      </c>
      <c r="G36" s="1"/>
      <c r="H36" s="1"/>
      <c r="I36" s="1"/>
      <c r="J36" s="1"/>
      <c r="K36" s="1"/>
      <c r="L36" s="1"/>
      <c r="M36" s="1"/>
      <c r="N36" s="1"/>
      <c r="O36" s="1"/>
      <c r="P36" s="1">
        <f t="shared" si="0"/>
        <v>1972.0500000000002</v>
      </c>
    </row>
    <row r="37" spans="1:16" ht="12.75">
      <c r="A37" s="3" t="s">
        <v>702</v>
      </c>
      <c r="B37" s="1"/>
      <c r="C37" s="1"/>
      <c r="D37" s="1"/>
      <c r="E37" s="1"/>
      <c r="F37" s="1">
        <v>1324.58</v>
      </c>
      <c r="G37" s="1"/>
      <c r="H37" s="1"/>
      <c r="I37" s="1"/>
      <c r="J37" s="1"/>
      <c r="K37" s="1"/>
      <c r="L37" s="1"/>
      <c r="M37" s="1"/>
      <c r="N37" s="1"/>
      <c r="O37" s="1"/>
      <c r="P37" s="1">
        <v>1324.58</v>
      </c>
    </row>
    <row r="38" spans="1:16" ht="12.75">
      <c r="A38" s="3" t="s">
        <v>109</v>
      </c>
      <c r="B38" s="1"/>
      <c r="C38" s="1"/>
      <c r="D38" s="1"/>
      <c r="E38" s="1"/>
      <c r="F38" s="1"/>
      <c r="G38" s="1"/>
      <c r="H38" s="1"/>
      <c r="I38" s="1">
        <v>1954.26</v>
      </c>
      <c r="J38" s="1"/>
      <c r="K38" s="1"/>
      <c r="L38" s="1"/>
      <c r="M38" s="1"/>
      <c r="N38" s="1"/>
      <c r="O38" s="1"/>
      <c r="P38" s="1">
        <v>1954.26</v>
      </c>
    </row>
    <row r="39" spans="1:16" ht="22.5">
      <c r="A39" s="3" t="s">
        <v>727</v>
      </c>
      <c r="B39" s="1"/>
      <c r="C39" s="1"/>
      <c r="D39" s="1"/>
      <c r="E39" s="1"/>
      <c r="F39" s="1">
        <v>828.32</v>
      </c>
      <c r="G39" s="1"/>
      <c r="H39" s="1"/>
      <c r="I39" s="1"/>
      <c r="J39" s="1"/>
      <c r="K39" s="1"/>
      <c r="L39" s="1"/>
      <c r="M39" s="1"/>
      <c r="N39" s="1"/>
      <c r="O39" s="1"/>
      <c r="P39" s="1">
        <v>828.32</v>
      </c>
    </row>
    <row r="40" spans="1:16" ht="12.75">
      <c r="A40" s="3" t="s">
        <v>700</v>
      </c>
      <c r="B40" s="1"/>
      <c r="C40" s="1"/>
      <c r="D40" s="1"/>
      <c r="E40" s="1"/>
      <c r="F40" s="1">
        <v>207.08</v>
      </c>
      <c r="G40" s="1"/>
      <c r="H40" s="1"/>
      <c r="I40" s="1"/>
      <c r="J40" s="1"/>
      <c r="K40" s="1"/>
      <c r="L40" s="1"/>
      <c r="M40" s="1"/>
      <c r="N40" s="1"/>
      <c r="O40" s="1"/>
      <c r="P40" s="1">
        <f>SUM(C40:O40)</f>
        <v>207.08</v>
      </c>
    </row>
    <row r="41" spans="1:16" ht="12.75">
      <c r="A41" s="3" t="s">
        <v>0</v>
      </c>
      <c r="B41" s="1"/>
      <c r="C41" s="1"/>
      <c r="D41" s="1"/>
      <c r="E41" s="1"/>
      <c r="F41" s="1"/>
      <c r="G41" s="1"/>
      <c r="H41" s="1">
        <v>1500</v>
      </c>
      <c r="I41" s="1"/>
      <c r="J41" s="1"/>
      <c r="K41" s="1"/>
      <c r="L41" s="1"/>
      <c r="M41" s="1"/>
      <c r="N41" s="1"/>
      <c r="O41" s="1"/>
      <c r="P41" s="1">
        <v>1500</v>
      </c>
    </row>
    <row r="42" spans="1:16" ht="12.75">
      <c r="A42" s="3" t="s">
        <v>528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>
        <f t="shared" si="0"/>
        <v>0</v>
      </c>
    </row>
    <row r="43" spans="1:16" ht="12.75">
      <c r="A43" s="1" t="s">
        <v>415</v>
      </c>
      <c r="B43" s="1"/>
      <c r="C43" s="1">
        <f aca="true" t="shared" si="1" ref="C43:P43">SUM(C4:C42)</f>
        <v>29333.06</v>
      </c>
      <c r="D43" s="1">
        <f t="shared" si="1"/>
        <v>30347.46</v>
      </c>
      <c r="E43" s="1">
        <f t="shared" si="1"/>
        <v>35692.9</v>
      </c>
      <c r="F43" s="1">
        <f t="shared" si="1"/>
        <v>96132.25000000001</v>
      </c>
      <c r="G43" s="1">
        <f t="shared" si="1"/>
        <v>39297.380000000005</v>
      </c>
      <c r="H43" s="1">
        <f t="shared" si="1"/>
        <v>35412.0239</v>
      </c>
      <c r="I43" s="1">
        <f t="shared" si="1"/>
        <v>26566.420000000002</v>
      </c>
      <c r="J43" s="1">
        <f t="shared" si="1"/>
        <v>31879.600000000002</v>
      </c>
      <c r="K43" s="1">
        <f t="shared" si="1"/>
        <v>0</v>
      </c>
      <c r="L43" s="1">
        <f t="shared" si="1"/>
        <v>0</v>
      </c>
      <c r="M43" s="1">
        <f t="shared" si="1"/>
        <v>0</v>
      </c>
      <c r="N43" s="1">
        <f t="shared" si="1"/>
        <v>0</v>
      </c>
      <c r="O43" s="1">
        <f t="shared" si="1"/>
        <v>0</v>
      </c>
      <c r="P43" s="1">
        <f t="shared" si="1"/>
        <v>324661.09390000015</v>
      </c>
    </row>
    <row r="44" spans="1:16" s="26" customFormat="1" ht="12.75">
      <c r="A44" s="1" t="s">
        <v>419</v>
      </c>
      <c r="B44" s="1"/>
      <c r="C44" s="1">
        <v>31214.02</v>
      </c>
      <c r="D44" s="1">
        <v>30346.89</v>
      </c>
      <c r="E44" s="1">
        <v>36460.56</v>
      </c>
      <c r="F44" s="1">
        <v>38440.11</v>
      </c>
      <c r="G44" s="1">
        <v>34409.19</v>
      </c>
      <c r="H44" s="1">
        <v>31304.74</v>
      </c>
      <c r="I44" s="1">
        <v>45213.35</v>
      </c>
      <c r="J44" s="1">
        <v>34113.74</v>
      </c>
      <c r="K44" s="1"/>
      <c r="L44" s="1"/>
      <c r="M44" s="1"/>
      <c r="N44" s="1"/>
      <c r="O44" s="1"/>
      <c r="P44" s="1">
        <f>SUM(C44:O44)</f>
        <v>281502.60000000003</v>
      </c>
    </row>
    <row r="45" spans="1:16" ht="12.75">
      <c r="A45" s="1" t="s">
        <v>403</v>
      </c>
      <c r="B45" s="1"/>
      <c r="C45" s="1"/>
      <c r="D45" s="1"/>
      <c r="E45" s="1"/>
      <c r="F45" s="1">
        <f>16412.76</f>
        <v>16412.76</v>
      </c>
      <c r="G45" s="1">
        <v>2945.86</v>
      </c>
      <c r="H45" s="1"/>
      <c r="I45" s="1">
        <v>4072.52</v>
      </c>
      <c r="J45" s="1">
        <f>1884.62+11783.52</f>
        <v>13668.14</v>
      </c>
      <c r="K45" s="1"/>
      <c r="L45" s="1"/>
      <c r="M45" s="1"/>
      <c r="N45" s="1"/>
      <c r="O45" s="1"/>
      <c r="P45" s="1">
        <f>SUM(C45:O45)</f>
        <v>37099.28</v>
      </c>
    </row>
    <row r="46" spans="1:16" s="12" customFormat="1" ht="12.75">
      <c r="A46" s="2" t="s">
        <v>420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>
        <f>P1+P44+P45+P47+P48-P43</f>
        <v>13806.426099999866</v>
      </c>
    </row>
    <row r="47" spans="1:16" ht="12.75">
      <c r="A47" s="1" t="s">
        <v>603</v>
      </c>
      <c r="B47" s="1"/>
      <c r="C47" s="1"/>
      <c r="D47" s="1"/>
      <c r="E47" s="1"/>
      <c r="F47" s="1">
        <v>378</v>
      </c>
      <c r="G47" s="1"/>
      <c r="H47" s="1">
        <v>400</v>
      </c>
      <c r="I47" s="1"/>
      <c r="J47" s="1">
        <v>240</v>
      </c>
      <c r="K47" s="1"/>
      <c r="L47" s="1"/>
      <c r="M47" s="1"/>
      <c r="N47" s="1"/>
      <c r="O47" s="1"/>
      <c r="P47" s="1">
        <f>SUM(F47:O47)</f>
        <v>1018</v>
      </c>
    </row>
    <row r="48" spans="1:16" ht="12.75">
      <c r="A48" s="1" t="s">
        <v>527</v>
      </c>
      <c r="B48" s="46"/>
      <c r="C48" s="47"/>
      <c r="D48" s="47"/>
      <c r="E48" s="47"/>
      <c r="F48" s="48">
        <v>3675</v>
      </c>
      <c r="G48" s="1">
        <v>1513.5</v>
      </c>
      <c r="H48" s="1">
        <v>600</v>
      </c>
      <c r="I48" s="1"/>
      <c r="J48" s="1">
        <v>140</v>
      </c>
      <c r="K48" s="1"/>
      <c r="L48" s="1"/>
      <c r="M48" s="1"/>
      <c r="N48" s="1"/>
      <c r="O48" s="1"/>
      <c r="P48" s="1">
        <f>SUM(F48:N48)</f>
        <v>5928.5</v>
      </c>
    </row>
    <row r="49" spans="1:16" ht="12.75">
      <c r="A49" s="1"/>
      <c r="B49" s="62" t="s">
        <v>481</v>
      </c>
      <c r="C49" s="63"/>
      <c r="D49" s="63"/>
      <c r="E49" s="63"/>
      <c r="F49" s="64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2" ht="12.75">
      <c r="G52" s="14" t="s">
        <v>428</v>
      </c>
    </row>
  </sheetData>
  <sheetProtection/>
  <mergeCells count="1">
    <mergeCell ref="B49:F49"/>
  </mergeCells>
  <printOptions/>
  <pageMargins left="0.7" right="0.7" top="0.75" bottom="0.75" header="0.3" footer="0.3"/>
  <pageSetup orientation="landscape" paperSize="9" scale="7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N32" sqref="N32"/>
    </sheetView>
  </sheetViews>
  <sheetFormatPr defaultColWidth="9.00390625" defaultRowHeight="12.75"/>
  <cols>
    <col min="1" max="1" width="34.375" style="14" customWidth="1"/>
    <col min="2" max="2" width="13.125" style="14" customWidth="1"/>
    <col min="3" max="3" width="7.25390625" style="14" customWidth="1"/>
    <col min="4" max="4" width="8.75390625" style="14" customWidth="1"/>
    <col min="5" max="5" width="7.125" style="14" customWidth="1"/>
    <col min="6" max="6" width="7.25390625" style="14" customWidth="1"/>
    <col min="7" max="7" width="8.375" style="14" customWidth="1"/>
    <col min="8" max="8" width="9.125" style="14" customWidth="1"/>
    <col min="9" max="9" width="7.25390625" style="14" customWidth="1"/>
    <col min="10" max="16384" width="9.125" style="14" customWidth="1"/>
  </cols>
  <sheetData>
    <row r="1" spans="1:16" s="12" customFormat="1" ht="12.75">
      <c r="A1" s="2" t="s">
        <v>422</v>
      </c>
      <c r="B1" s="2">
        <v>2502.7</v>
      </c>
      <c r="C1" s="2"/>
      <c r="D1" s="2"/>
      <c r="E1" s="2"/>
      <c r="F1" s="2"/>
      <c r="G1" s="2"/>
      <c r="H1" s="2"/>
      <c r="I1" s="2"/>
      <c r="J1" s="2"/>
      <c r="K1" s="2" t="s">
        <v>398</v>
      </c>
      <c r="L1" s="2"/>
      <c r="M1" s="2"/>
      <c r="N1" s="2"/>
      <c r="O1" s="2"/>
      <c r="P1" s="2">
        <v>174.39</v>
      </c>
    </row>
    <row r="2" spans="1:16" ht="12.75">
      <c r="A2" s="1" t="s">
        <v>421</v>
      </c>
      <c r="B2" s="1">
        <f>PRODUCT(B1,10.65)</f>
        <v>26653.754999999997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2" customFormat="1" ht="12.75">
      <c r="A3" s="2" t="s">
        <v>409</v>
      </c>
      <c r="B3" s="2" t="s">
        <v>410</v>
      </c>
      <c r="C3" s="2" t="s">
        <v>434</v>
      </c>
      <c r="D3" s="2" t="s">
        <v>438</v>
      </c>
      <c r="E3" s="2" t="s">
        <v>437</v>
      </c>
      <c r="F3" s="2" t="s">
        <v>436</v>
      </c>
      <c r="G3" s="2" t="s">
        <v>413</v>
      </c>
      <c r="H3" s="2" t="s">
        <v>414</v>
      </c>
      <c r="I3" s="2" t="s">
        <v>416</v>
      </c>
      <c r="J3" s="2" t="s">
        <v>417</v>
      </c>
      <c r="K3" s="2" t="s">
        <v>423</v>
      </c>
      <c r="L3" s="2" t="s">
        <v>424</v>
      </c>
      <c r="M3" s="2" t="s">
        <v>425</v>
      </c>
      <c r="N3" s="2" t="s">
        <v>426</v>
      </c>
      <c r="O3" s="2" t="s">
        <v>434</v>
      </c>
      <c r="P3" s="2" t="s">
        <v>427</v>
      </c>
    </row>
    <row r="4" spans="1:16" ht="12.75">
      <c r="A4" s="1" t="s">
        <v>411</v>
      </c>
      <c r="B4" s="1">
        <v>1.57</v>
      </c>
      <c r="C4" s="1">
        <v>3929.24</v>
      </c>
      <c r="D4" s="1">
        <v>3929.24</v>
      </c>
      <c r="E4" s="1">
        <v>3929.24</v>
      </c>
      <c r="F4" s="1">
        <v>3929.24</v>
      </c>
      <c r="G4" s="1">
        <v>3929.24</v>
      </c>
      <c r="H4" s="1">
        <v>3929.24</v>
      </c>
      <c r="I4" s="1">
        <v>3929.24</v>
      </c>
      <c r="J4" s="1">
        <v>3929.24</v>
      </c>
      <c r="K4" s="1"/>
      <c r="L4" s="1"/>
      <c r="M4" s="1"/>
      <c r="N4" s="1"/>
      <c r="O4" s="1"/>
      <c r="P4" s="1">
        <f aca="true" t="shared" si="0" ref="P4:P34">SUM(C4:O4)</f>
        <v>31433.91999999999</v>
      </c>
    </row>
    <row r="5" spans="1:16" ht="12.75">
      <c r="A5" s="1" t="s">
        <v>451</v>
      </c>
      <c r="B5" s="1">
        <v>1.6</v>
      </c>
      <c r="C5" s="1">
        <v>4004.32</v>
      </c>
      <c r="D5" s="1">
        <v>4004.32</v>
      </c>
      <c r="E5" s="1">
        <v>4004.32</v>
      </c>
      <c r="F5" s="1">
        <v>4004.32</v>
      </c>
      <c r="G5" s="1">
        <v>4004.32</v>
      </c>
      <c r="H5" s="1">
        <v>4004.32</v>
      </c>
      <c r="I5" s="1">
        <v>4004.32</v>
      </c>
      <c r="J5" s="1">
        <v>4004.32</v>
      </c>
      <c r="K5" s="1"/>
      <c r="L5" s="1"/>
      <c r="M5" s="1"/>
      <c r="N5" s="1"/>
      <c r="O5" s="1"/>
      <c r="P5" s="1">
        <f t="shared" si="0"/>
        <v>32034.56</v>
      </c>
    </row>
    <row r="6" spans="1:16" ht="12.75">
      <c r="A6" s="1" t="s">
        <v>412</v>
      </c>
      <c r="B6" s="1">
        <v>1.6</v>
      </c>
      <c r="C6" s="1">
        <v>4004.32</v>
      </c>
      <c r="D6" s="1">
        <v>4004.32</v>
      </c>
      <c r="E6" s="1">
        <v>4004.32</v>
      </c>
      <c r="F6" s="1">
        <v>4004.32</v>
      </c>
      <c r="G6" s="1">
        <v>4004.32</v>
      </c>
      <c r="H6" s="1">
        <v>4004.32</v>
      </c>
      <c r="I6" s="1">
        <v>4004.32</v>
      </c>
      <c r="J6" s="1">
        <v>4004.32</v>
      </c>
      <c r="K6" s="1"/>
      <c r="L6" s="1"/>
      <c r="M6" s="1"/>
      <c r="N6" s="1"/>
      <c r="O6" s="1"/>
      <c r="P6" s="1">
        <f t="shared" si="0"/>
        <v>32034.56</v>
      </c>
    </row>
    <row r="7" spans="1:16" ht="12.75">
      <c r="A7" s="1" t="s">
        <v>491</v>
      </c>
      <c r="B7" s="1">
        <v>0.44</v>
      </c>
      <c r="C7" s="1">
        <v>1101.19</v>
      </c>
      <c r="D7" s="1">
        <v>1101.19</v>
      </c>
      <c r="E7" s="1">
        <v>1101.19</v>
      </c>
      <c r="F7" s="1">
        <v>1101.19</v>
      </c>
      <c r="G7" s="1">
        <v>1101.19</v>
      </c>
      <c r="H7" s="1">
        <v>1101.19</v>
      </c>
      <c r="I7" s="1">
        <v>1101.19</v>
      </c>
      <c r="J7" s="1">
        <v>1101.19</v>
      </c>
      <c r="K7" s="1"/>
      <c r="L7" s="1"/>
      <c r="M7" s="1"/>
      <c r="N7" s="1"/>
      <c r="O7" s="1"/>
      <c r="P7" s="1">
        <f t="shared" si="0"/>
        <v>8809.520000000002</v>
      </c>
    </row>
    <row r="8" spans="1:16" ht="12.75">
      <c r="A8" s="1" t="s">
        <v>435</v>
      </c>
      <c r="B8" s="1">
        <v>0.66</v>
      </c>
      <c r="C8" s="1">
        <v>1651.78</v>
      </c>
      <c r="D8" s="1">
        <v>1651.78</v>
      </c>
      <c r="E8" s="1">
        <v>1651.78</v>
      </c>
      <c r="F8" s="1">
        <v>1651.78</v>
      </c>
      <c r="G8" s="1">
        <v>1651.78</v>
      </c>
      <c r="H8" s="1">
        <v>1651.78</v>
      </c>
      <c r="I8" s="1">
        <v>1651.78</v>
      </c>
      <c r="J8" s="1">
        <v>1651.78</v>
      </c>
      <c r="K8" s="1"/>
      <c r="L8" s="1"/>
      <c r="M8" s="1"/>
      <c r="N8" s="1"/>
      <c r="O8" s="1"/>
      <c r="P8" s="1">
        <f t="shared" si="0"/>
        <v>13214.240000000002</v>
      </c>
    </row>
    <row r="9" spans="1:16" ht="12.75">
      <c r="A9" s="3" t="s">
        <v>478</v>
      </c>
      <c r="B9" s="1"/>
      <c r="C9" s="1">
        <v>2712</v>
      </c>
      <c r="D9" s="1">
        <v>2712</v>
      </c>
      <c r="E9" s="1">
        <v>2712</v>
      </c>
      <c r="F9" s="1">
        <v>2712</v>
      </c>
      <c r="G9" s="1">
        <v>5425</v>
      </c>
      <c r="H9" s="1">
        <v>5425</v>
      </c>
      <c r="I9" s="1">
        <v>2712</v>
      </c>
      <c r="J9" s="1">
        <v>2712</v>
      </c>
      <c r="K9" s="1"/>
      <c r="L9" s="1"/>
      <c r="M9" s="1"/>
      <c r="N9" s="1"/>
      <c r="O9" s="1"/>
      <c r="P9" s="1">
        <f t="shared" si="0"/>
        <v>27122</v>
      </c>
    </row>
    <row r="10" spans="1:16" ht="12.75">
      <c r="A10" s="3" t="s">
        <v>480</v>
      </c>
      <c r="B10" s="1"/>
      <c r="C10" s="1">
        <v>115.12</v>
      </c>
      <c r="D10" s="1">
        <v>115.12</v>
      </c>
      <c r="E10" s="1">
        <v>115.12</v>
      </c>
      <c r="F10" s="1">
        <v>115.12</v>
      </c>
      <c r="G10" s="1">
        <v>115.12</v>
      </c>
      <c r="H10" s="1">
        <v>80.09</v>
      </c>
      <c r="I10" s="1">
        <v>362.89</v>
      </c>
      <c r="J10" s="1">
        <v>362.89</v>
      </c>
      <c r="K10" s="1"/>
      <c r="L10" s="1"/>
      <c r="M10" s="1"/>
      <c r="N10" s="1"/>
      <c r="O10" s="1"/>
      <c r="P10" s="1">
        <f t="shared" si="0"/>
        <v>1381.47</v>
      </c>
    </row>
    <row r="11" spans="1:16" ht="12.75">
      <c r="A11" s="1" t="s">
        <v>263</v>
      </c>
      <c r="B11" s="1"/>
      <c r="C11" s="1">
        <v>500</v>
      </c>
      <c r="D11" s="1">
        <v>500</v>
      </c>
      <c r="E11" s="1">
        <v>500</v>
      </c>
      <c r="F11" s="1">
        <v>500</v>
      </c>
      <c r="G11" s="1"/>
      <c r="H11" s="1"/>
      <c r="I11" s="1"/>
      <c r="J11" s="1"/>
      <c r="K11" s="1"/>
      <c r="L11" s="1"/>
      <c r="M11" s="1"/>
      <c r="N11" s="1"/>
      <c r="O11" s="1"/>
      <c r="P11" s="1">
        <f t="shared" si="0"/>
        <v>2000</v>
      </c>
    </row>
    <row r="12" spans="1:16" ht="45">
      <c r="A12" s="3" t="s">
        <v>470</v>
      </c>
      <c r="B12" s="1"/>
      <c r="C12" s="1"/>
      <c r="D12" s="1"/>
      <c r="E12" s="1"/>
      <c r="F12" s="1"/>
      <c r="G12" s="1"/>
      <c r="H12" s="1">
        <v>12823</v>
      </c>
      <c r="I12" s="1"/>
      <c r="J12" s="1"/>
      <c r="K12" s="1"/>
      <c r="L12" s="1"/>
      <c r="M12" s="1"/>
      <c r="N12" s="1"/>
      <c r="O12" s="1"/>
      <c r="P12" s="1">
        <f t="shared" si="0"/>
        <v>12823</v>
      </c>
    </row>
    <row r="13" spans="1:16" ht="12.75">
      <c r="A13" s="3" t="s">
        <v>490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 t="shared" si="0"/>
        <v>0</v>
      </c>
    </row>
    <row r="14" spans="1:16" ht="12.75">
      <c r="A14" s="3" t="s">
        <v>226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si="0"/>
        <v>0</v>
      </c>
    </row>
    <row r="15" spans="1:16" ht="12.75">
      <c r="A15" s="3" t="s">
        <v>492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f t="shared" si="0"/>
        <v>0</v>
      </c>
    </row>
    <row r="16" spans="1:16" ht="12.75">
      <c r="A16" s="3" t="s">
        <v>231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f t="shared" si="0"/>
        <v>0</v>
      </c>
    </row>
    <row r="17" spans="1:16" ht="12.75">
      <c r="A17" s="3" t="s">
        <v>702</v>
      </c>
      <c r="B17" s="1"/>
      <c r="C17" s="1"/>
      <c r="D17" s="1"/>
      <c r="E17" s="1"/>
      <c r="F17" s="1">
        <v>534.16</v>
      </c>
      <c r="G17" s="1"/>
      <c r="H17" s="1"/>
      <c r="I17" s="1"/>
      <c r="J17" s="1"/>
      <c r="K17" s="1"/>
      <c r="L17" s="1"/>
      <c r="M17" s="1"/>
      <c r="N17" s="1"/>
      <c r="O17" s="1"/>
      <c r="P17" s="1">
        <f>SUM(C17:O17)</f>
        <v>534.16</v>
      </c>
    </row>
    <row r="18" spans="1:16" ht="12.75">
      <c r="A18" s="3" t="s">
        <v>494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f t="shared" si="0"/>
        <v>0</v>
      </c>
    </row>
    <row r="19" spans="1:16" ht="12.75">
      <c r="A19" s="3" t="s">
        <v>704</v>
      </c>
      <c r="B19" s="1"/>
      <c r="C19" s="1"/>
      <c r="D19" s="1"/>
      <c r="E19" s="1"/>
      <c r="F19" s="1">
        <v>828.32</v>
      </c>
      <c r="G19" s="1"/>
      <c r="H19" s="1"/>
      <c r="I19" s="1"/>
      <c r="J19" s="1"/>
      <c r="K19" s="1"/>
      <c r="L19" s="1"/>
      <c r="M19" s="1"/>
      <c r="N19" s="1"/>
      <c r="O19" s="1"/>
      <c r="P19" s="1">
        <f>SUM(C19:O19)</f>
        <v>828.32</v>
      </c>
    </row>
    <row r="20" spans="1:16" ht="12.75">
      <c r="A20" s="3" t="s">
        <v>560</v>
      </c>
      <c r="B20" s="1"/>
      <c r="C20" s="1"/>
      <c r="D20" s="1"/>
      <c r="E20" s="1"/>
      <c r="F20" s="1">
        <v>828.32</v>
      </c>
      <c r="G20" s="1"/>
      <c r="H20" s="1"/>
      <c r="I20" s="1"/>
      <c r="J20" s="1"/>
      <c r="K20" s="1"/>
      <c r="L20" s="1"/>
      <c r="M20" s="1"/>
      <c r="N20" s="1"/>
      <c r="O20" s="1"/>
      <c r="P20" s="1">
        <f>SUM(C20:O20)</f>
        <v>828.32</v>
      </c>
    </row>
    <row r="21" spans="1:16" ht="22.5">
      <c r="A21" s="3" t="s">
        <v>745</v>
      </c>
      <c r="B21" s="1"/>
      <c r="C21" s="1"/>
      <c r="D21" s="1"/>
      <c r="E21" s="1"/>
      <c r="F21" s="1"/>
      <c r="G21" s="1"/>
      <c r="H21" s="1">
        <v>658.24</v>
      </c>
      <c r="I21" s="1"/>
      <c r="J21" s="1"/>
      <c r="K21" s="1"/>
      <c r="L21" s="1"/>
      <c r="M21" s="1"/>
      <c r="N21" s="1"/>
      <c r="O21" s="1"/>
      <c r="P21" s="1">
        <f>SUM(C21:O21)</f>
        <v>658.24</v>
      </c>
    </row>
    <row r="22" spans="1:16" ht="12.75">
      <c r="A22" s="3" t="s">
        <v>78</v>
      </c>
      <c r="B22" s="1"/>
      <c r="C22" s="1"/>
      <c r="D22" s="1"/>
      <c r="E22" s="1"/>
      <c r="F22" s="1"/>
      <c r="G22" s="1"/>
      <c r="H22" s="1"/>
      <c r="I22" s="1"/>
      <c r="J22" s="1">
        <v>27840</v>
      </c>
      <c r="K22" s="1"/>
      <c r="L22" s="1"/>
      <c r="M22" s="1"/>
      <c r="N22" s="1"/>
      <c r="O22" s="1"/>
      <c r="P22" s="1">
        <v>27840</v>
      </c>
    </row>
    <row r="23" spans="1:16" ht="22.5">
      <c r="A23" s="3" t="s">
        <v>564</v>
      </c>
      <c r="B23" s="1"/>
      <c r="C23" s="1"/>
      <c r="D23" s="1"/>
      <c r="E23" s="1"/>
      <c r="F23" s="1">
        <v>790.24</v>
      </c>
      <c r="G23" s="1"/>
      <c r="H23" s="1"/>
      <c r="I23" s="1"/>
      <c r="J23" s="1"/>
      <c r="K23" s="1"/>
      <c r="L23" s="1"/>
      <c r="M23" s="1"/>
      <c r="N23" s="1"/>
      <c r="O23" s="1"/>
      <c r="P23" s="1">
        <f t="shared" si="0"/>
        <v>790.24</v>
      </c>
    </row>
    <row r="24" spans="1:16" ht="12.75">
      <c r="A24" s="3" t="s">
        <v>565</v>
      </c>
      <c r="B24" s="1"/>
      <c r="C24" s="1"/>
      <c r="D24" s="1"/>
      <c r="E24" s="1"/>
      <c r="F24" s="1">
        <v>207.08</v>
      </c>
      <c r="G24" s="1"/>
      <c r="H24" s="1"/>
      <c r="I24" s="1"/>
      <c r="J24" s="1"/>
      <c r="K24" s="1"/>
      <c r="L24" s="1"/>
      <c r="M24" s="1"/>
      <c r="N24" s="1"/>
      <c r="O24" s="1"/>
      <c r="P24" s="1">
        <f t="shared" si="0"/>
        <v>207.08</v>
      </c>
    </row>
    <row r="25" spans="1:16" ht="12.75">
      <c r="A25" s="3" t="s">
        <v>779</v>
      </c>
      <c r="B25" s="1"/>
      <c r="C25" s="1"/>
      <c r="D25" s="1"/>
      <c r="E25" s="1"/>
      <c r="F25" s="1"/>
      <c r="G25" s="1"/>
      <c r="H25" s="1">
        <v>6563.28</v>
      </c>
      <c r="I25" s="1"/>
      <c r="J25" s="1"/>
      <c r="K25" s="1"/>
      <c r="L25" s="1"/>
      <c r="M25" s="1"/>
      <c r="N25" s="1"/>
      <c r="O25" s="1"/>
      <c r="P25" s="1">
        <v>6563.28</v>
      </c>
    </row>
    <row r="26" spans="1:16" ht="22.5">
      <c r="A26" s="3" t="s">
        <v>566</v>
      </c>
      <c r="B26" s="1"/>
      <c r="C26" s="1"/>
      <c r="D26" s="1"/>
      <c r="E26" s="1">
        <v>1279.48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>
        <f t="shared" si="0"/>
        <v>1279.48</v>
      </c>
    </row>
    <row r="27" spans="1:16" ht="22.5">
      <c r="A27" s="3" t="s">
        <v>567</v>
      </c>
      <c r="B27" s="1"/>
      <c r="C27" s="1"/>
      <c r="D27" s="1">
        <v>828.32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>
        <f t="shared" si="0"/>
        <v>828.32</v>
      </c>
    </row>
    <row r="28" spans="1:16" ht="12.75">
      <c r="A28" s="3" t="s">
        <v>568</v>
      </c>
      <c r="B28" s="1"/>
      <c r="C28" s="1"/>
      <c r="D28" s="1">
        <v>414.16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>
        <f t="shared" si="0"/>
        <v>414.16</v>
      </c>
    </row>
    <row r="29" spans="1:16" ht="22.5">
      <c r="A29" s="3" t="s">
        <v>72</v>
      </c>
      <c r="B29" s="1"/>
      <c r="C29" s="1"/>
      <c r="D29" s="1"/>
      <c r="E29" s="1"/>
      <c r="F29" s="1"/>
      <c r="G29" s="1"/>
      <c r="H29" s="1"/>
      <c r="I29" s="1">
        <v>103.54</v>
      </c>
      <c r="J29" s="1"/>
      <c r="K29" s="1"/>
      <c r="L29" s="1"/>
      <c r="M29" s="1"/>
      <c r="N29" s="1"/>
      <c r="O29" s="1"/>
      <c r="P29" s="1">
        <v>103.54</v>
      </c>
    </row>
    <row r="30" spans="1:16" ht="12.75">
      <c r="A30" s="3" t="s">
        <v>85</v>
      </c>
      <c r="B30" s="1"/>
      <c r="C30" s="1"/>
      <c r="D30" s="1"/>
      <c r="E30" s="1"/>
      <c r="F30" s="1"/>
      <c r="G30" s="1"/>
      <c r="H30" s="1"/>
      <c r="I30" s="1"/>
      <c r="J30" s="1">
        <v>12000</v>
      </c>
      <c r="K30" s="1"/>
      <c r="L30" s="1"/>
      <c r="M30" s="1"/>
      <c r="N30" s="1"/>
      <c r="O30" s="1"/>
      <c r="P30" s="1">
        <v>12000</v>
      </c>
    </row>
    <row r="31" spans="1:16" ht="22.5">
      <c r="A31" s="3" t="s">
        <v>569</v>
      </c>
      <c r="B31" s="1"/>
      <c r="C31" s="1">
        <v>357.08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>
        <f t="shared" si="0"/>
        <v>357.08</v>
      </c>
    </row>
    <row r="32" spans="1:16" ht="12.75">
      <c r="A32" s="3" t="s">
        <v>100</v>
      </c>
      <c r="B32" s="1"/>
      <c r="C32" s="1"/>
      <c r="D32" s="1"/>
      <c r="E32" s="1"/>
      <c r="F32" s="1"/>
      <c r="G32" s="1"/>
      <c r="H32" s="1"/>
      <c r="I32" s="1">
        <v>3196.68</v>
      </c>
      <c r="J32" s="1"/>
      <c r="K32" s="1"/>
      <c r="L32" s="1"/>
      <c r="M32" s="1"/>
      <c r="N32" s="1"/>
      <c r="O32" s="1"/>
      <c r="P32" s="1">
        <v>3196.68</v>
      </c>
    </row>
    <row r="33" spans="1:16" ht="12.75">
      <c r="A33" s="3" t="s">
        <v>570</v>
      </c>
      <c r="B33" s="1"/>
      <c r="C33" s="1"/>
      <c r="D33" s="1">
        <v>70292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>
        <f t="shared" si="0"/>
        <v>70292</v>
      </c>
    </row>
    <row r="34" spans="1:16" ht="12.75">
      <c r="A34" s="3" t="s">
        <v>528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>
        <f t="shared" si="0"/>
        <v>0</v>
      </c>
    </row>
    <row r="35" spans="1:16" ht="12.75">
      <c r="A35" s="3" t="s">
        <v>0</v>
      </c>
      <c r="B35" s="1"/>
      <c r="C35" s="1"/>
      <c r="D35" s="1"/>
      <c r="E35" s="1"/>
      <c r="F35" s="1"/>
      <c r="G35" s="1"/>
      <c r="H35" s="1">
        <v>1500</v>
      </c>
      <c r="I35" s="1"/>
      <c r="J35" s="1"/>
      <c r="K35" s="1"/>
      <c r="L35" s="1"/>
      <c r="M35" s="1"/>
      <c r="N35" s="1"/>
      <c r="O35" s="1"/>
      <c r="P35" s="1">
        <v>1500</v>
      </c>
    </row>
    <row r="36" spans="1:16" ht="12.75">
      <c r="A36" s="1" t="s">
        <v>415</v>
      </c>
      <c r="B36" s="1"/>
      <c r="C36" s="1">
        <f>SUM(C4:C34)</f>
        <v>18375.05</v>
      </c>
      <c r="D36" s="1">
        <f>SUM(D4:D34)</f>
        <v>89552.45</v>
      </c>
      <c r="E36" s="1">
        <f>SUM(E4:E34)</f>
        <v>19297.449999999997</v>
      </c>
      <c r="F36" s="1">
        <f>SUM(F4:F34)</f>
        <v>21206.09</v>
      </c>
      <c r="G36" s="1">
        <f>SUM(G4:G34)</f>
        <v>20230.969999999998</v>
      </c>
      <c r="H36" s="1">
        <f>SUM(H4:H35)</f>
        <v>41740.46</v>
      </c>
      <c r="I36" s="1">
        <f aca="true" t="shared" si="1" ref="I36:P36">SUM(I4:I34)</f>
        <v>21065.96</v>
      </c>
      <c r="J36" s="1">
        <f t="shared" si="1"/>
        <v>57605.74</v>
      </c>
      <c r="K36" s="1">
        <f t="shared" si="1"/>
        <v>0</v>
      </c>
      <c r="L36" s="1">
        <f t="shared" si="1"/>
        <v>0</v>
      </c>
      <c r="M36" s="1">
        <f t="shared" si="1"/>
        <v>0</v>
      </c>
      <c r="N36" s="1">
        <f t="shared" si="1"/>
        <v>0</v>
      </c>
      <c r="O36" s="1">
        <f t="shared" si="1"/>
        <v>0</v>
      </c>
      <c r="P36" s="1">
        <f t="shared" si="1"/>
        <v>287574.17</v>
      </c>
    </row>
    <row r="37" spans="1:16" s="26" customFormat="1" ht="12.75">
      <c r="A37" s="1" t="s">
        <v>419</v>
      </c>
      <c r="B37" s="1"/>
      <c r="C37" s="1">
        <v>23084.86</v>
      </c>
      <c r="D37" s="1">
        <v>22708.25</v>
      </c>
      <c r="E37" s="1">
        <v>32882.98</v>
      </c>
      <c r="F37" s="1">
        <v>30591.28</v>
      </c>
      <c r="G37" s="1">
        <v>29832.92</v>
      </c>
      <c r="H37" s="1">
        <v>30296.76</v>
      </c>
      <c r="I37" s="1">
        <v>28786.64</v>
      </c>
      <c r="J37" s="1">
        <v>36329.1</v>
      </c>
      <c r="K37" s="1"/>
      <c r="L37" s="1"/>
      <c r="M37" s="1"/>
      <c r="N37" s="1"/>
      <c r="O37" s="1"/>
      <c r="P37" s="1">
        <f>SUM(C37:O37)</f>
        <v>234512.79</v>
      </c>
    </row>
    <row r="38" spans="1:16" s="12" customFormat="1" ht="12.75">
      <c r="A38" s="2" t="s">
        <v>420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>
        <f>P1+P37+P39+P40+P41-P36</f>
        <v>-34254.74999999997</v>
      </c>
    </row>
    <row r="39" spans="1:16" ht="12.75">
      <c r="A39" s="1" t="s">
        <v>403</v>
      </c>
      <c r="B39" s="1"/>
      <c r="C39" s="1"/>
      <c r="D39" s="1"/>
      <c r="E39" s="1"/>
      <c r="F39" s="1">
        <f>5134.96+1130.77</f>
        <v>6265.73</v>
      </c>
      <c r="G39" s="1"/>
      <c r="H39" s="1">
        <v>1130.77</v>
      </c>
      <c r="I39" s="1"/>
      <c r="J39" s="1">
        <v>4289.24</v>
      </c>
      <c r="K39" s="1"/>
      <c r="L39" s="1"/>
      <c r="M39" s="1"/>
      <c r="N39" s="1"/>
      <c r="O39" s="1"/>
      <c r="P39" s="1">
        <f>SUM(C39:O39)</f>
        <v>11685.74</v>
      </c>
    </row>
    <row r="40" spans="1:16" ht="12.75">
      <c r="A40" s="1" t="s">
        <v>603</v>
      </c>
      <c r="B40" s="46"/>
      <c r="C40" s="47"/>
      <c r="D40" s="47"/>
      <c r="E40" s="47"/>
      <c r="F40" s="48"/>
      <c r="G40" s="1">
        <v>378</v>
      </c>
      <c r="H40" s="1">
        <v>400</v>
      </c>
      <c r="I40" s="1"/>
      <c r="J40" s="1">
        <v>240</v>
      </c>
      <c r="K40" s="1"/>
      <c r="L40" s="1"/>
      <c r="M40" s="1"/>
      <c r="N40" s="1"/>
      <c r="O40" s="1"/>
      <c r="P40" s="1">
        <f>SUM(G40:O40)</f>
        <v>1018</v>
      </c>
    </row>
    <row r="41" spans="1:16" ht="12.75">
      <c r="A41" s="1" t="s">
        <v>527</v>
      </c>
      <c r="B41" s="46"/>
      <c r="C41" s="47"/>
      <c r="D41" s="47"/>
      <c r="E41" s="47"/>
      <c r="F41" s="48"/>
      <c r="G41" s="1">
        <f>3675+1513.5</f>
        <v>5188.5</v>
      </c>
      <c r="H41" s="1">
        <v>600</v>
      </c>
      <c r="I41" s="1"/>
      <c r="J41" s="1">
        <v>140</v>
      </c>
      <c r="K41" s="1"/>
      <c r="L41" s="1"/>
      <c r="M41" s="1"/>
      <c r="N41" s="1"/>
      <c r="O41" s="1"/>
      <c r="P41" s="1">
        <f>SUM(F41:O41)</f>
        <v>5928.5</v>
      </c>
    </row>
    <row r="42" spans="1:16" ht="12.75">
      <c r="A42" s="1"/>
      <c r="B42" s="62" t="s">
        <v>481</v>
      </c>
      <c r="C42" s="63"/>
      <c r="D42" s="63"/>
      <c r="E42" s="63"/>
      <c r="F42" s="64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6" ht="12.75">
      <c r="G46" s="14" t="s">
        <v>428</v>
      </c>
    </row>
  </sheetData>
  <sheetProtection/>
  <mergeCells count="1">
    <mergeCell ref="B42:F42"/>
  </mergeCells>
  <printOptions/>
  <pageMargins left="0.75" right="0.75" top="1" bottom="1" header="0.5" footer="0.5"/>
  <pageSetup orientation="landscape" paperSize="9" scale="6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V65"/>
  <sheetViews>
    <sheetView view="pageBreakPreview" zoomScale="60" zoomScalePageLayoutView="0" workbookViewId="0" topLeftCell="A4">
      <selection activeCell="H33" sqref="H33"/>
    </sheetView>
  </sheetViews>
  <sheetFormatPr defaultColWidth="11.125" defaultRowHeight="12.75"/>
  <cols>
    <col min="1" max="1" width="36.875" style="49" customWidth="1"/>
    <col min="2" max="2" width="15.875" style="49" customWidth="1"/>
    <col min="3" max="3" width="17.625" style="49" customWidth="1"/>
    <col min="4" max="4" width="16.125" style="49" customWidth="1"/>
    <col min="5" max="5" width="17.25390625" style="49" customWidth="1"/>
    <col min="6" max="6" width="17.375" style="49" customWidth="1"/>
    <col min="7" max="7" width="15.75390625" style="49" customWidth="1"/>
    <col min="8" max="11" width="15.125" style="49" customWidth="1"/>
    <col min="12" max="12" width="14.25390625" style="49" customWidth="1"/>
    <col min="13" max="13" width="0.74609375" style="49" hidden="1" customWidth="1"/>
    <col min="14" max="16384" width="11.125" style="49" customWidth="1"/>
  </cols>
  <sheetData>
    <row r="1" spans="4:12" ht="18">
      <c r="D1" s="50"/>
      <c r="L1" s="50"/>
    </row>
    <row r="2" ht="18">
      <c r="L2" s="50">
        <v>2993.54</v>
      </c>
    </row>
    <row r="3" spans="1:4" s="50" customFormat="1" ht="18">
      <c r="A3" s="50" t="s">
        <v>422</v>
      </c>
      <c r="C3" s="50">
        <v>3552.5</v>
      </c>
      <c r="D3" s="50" t="s">
        <v>457</v>
      </c>
    </row>
    <row r="4" ht="18">
      <c r="A4" s="49" t="s">
        <v>421</v>
      </c>
    </row>
    <row r="5" spans="3:12" s="50" customFormat="1" ht="18">
      <c r="C5" s="50" t="s">
        <v>410</v>
      </c>
      <c r="D5" s="50" t="s">
        <v>434</v>
      </c>
      <c r="E5" s="50" t="s">
        <v>438</v>
      </c>
      <c r="F5" s="50" t="s">
        <v>437</v>
      </c>
      <c r="G5" s="50" t="s">
        <v>436</v>
      </c>
      <c r="H5" s="50" t="s">
        <v>413</v>
      </c>
      <c r="I5" s="50" t="s">
        <v>414</v>
      </c>
      <c r="J5" s="50" t="s">
        <v>416</v>
      </c>
      <c r="K5" s="50" t="s">
        <v>417</v>
      </c>
      <c r="L5" s="50" t="s">
        <v>427</v>
      </c>
    </row>
    <row r="6" spans="1:12" ht="18">
      <c r="A6" s="49" t="s">
        <v>458</v>
      </c>
      <c r="C6" s="49">
        <v>1.57</v>
      </c>
      <c r="D6" s="49">
        <f>C6*C3</f>
        <v>5577.425</v>
      </c>
      <c r="E6" s="49">
        <f>C6*C3</f>
        <v>5577.425</v>
      </c>
      <c r="F6" s="49">
        <f>C6*C3</f>
        <v>5577.425</v>
      </c>
      <c r="G6" s="49">
        <f>C6*C3</f>
        <v>5577.425</v>
      </c>
      <c r="H6" s="49">
        <f>C6*C3</f>
        <v>5577.425</v>
      </c>
      <c r="I6" s="49">
        <v>5577.43</v>
      </c>
      <c r="J6" s="49">
        <v>5577.43</v>
      </c>
      <c r="K6" s="49">
        <v>5577.43</v>
      </c>
      <c r="L6" s="49">
        <f>SUM(D6:K6)</f>
        <v>44619.415</v>
      </c>
    </row>
    <row r="7" spans="1:12" ht="18">
      <c r="A7" s="49" t="s">
        <v>459</v>
      </c>
      <c r="C7" s="49">
        <v>1.6</v>
      </c>
      <c r="D7" s="49">
        <f>C3*B7</f>
        <v>0</v>
      </c>
      <c r="E7" s="49">
        <f>C7*C3</f>
        <v>5684</v>
      </c>
      <c r="F7" s="49">
        <f>C7*C3</f>
        <v>5684</v>
      </c>
      <c r="G7" s="49">
        <f>C7*C3</f>
        <v>5684</v>
      </c>
      <c r="H7" s="49">
        <f>C7*C3</f>
        <v>5684</v>
      </c>
      <c r="I7" s="49">
        <v>5684</v>
      </c>
      <c r="J7" s="49">
        <v>5684</v>
      </c>
      <c r="K7" s="49">
        <v>5684</v>
      </c>
      <c r="L7" s="49">
        <f aca="true" t="shared" si="0" ref="L7:L43">SUM(D7:H7)</f>
        <v>22736</v>
      </c>
    </row>
    <row r="8" spans="1:12" ht="36">
      <c r="A8" s="51" t="s">
        <v>460</v>
      </c>
      <c r="C8" s="49">
        <v>1.6</v>
      </c>
      <c r="D8" s="49">
        <f>B8*C3</f>
        <v>0</v>
      </c>
      <c r="E8" s="49">
        <f>C8*C3</f>
        <v>5684</v>
      </c>
      <c r="F8" s="49">
        <f>C8*C3</f>
        <v>5684</v>
      </c>
      <c r="G8" s="49">
        <f>C8*C3</f>
        <v>5684</v>
      </c>
      <c r="H8" s="49">
        <f>C8*C3</f>
        <v>5684</v>
      </c>
      <c r="I8" s="49">
        <v>5684</v>
      </c>
      <c r="J8" s="49">
        <v>5684</v>
      </c>
      <c r="K8" s="49">
        <v>5684</v>
      </c>
      <c r="L8" s="49">
        <f t="shared" si="0"/>
        <v>22736</v>
      </c>
    </row>
    <row r="9" spans="1:48" ht="35.25" customHeight="1">
      <c r="A9" s="51" t="s">
        <v>257</v>
      </c>
      <c r="C9" s="49">
        <v>0.44</v>
      </c>
      <c r="D9" s="49">
        <f>C9*C3</f>
        <v>1563.1</v>
      </c>
      <c r="E9" s="51">
        <f>C9*C3</f>
        <v>1563.1</v>
      </c>
      <c r="F9" s="49">
        <f>C9*C3</f>
        <v>1563.1</v>
      </c>
      <c r="G9" s="49">
        <f>C9*C3</f>
        <v>1563.1</v>
      </c>
      <c r="H9" s="49">
        <f>C9*C3</f>
        <v>1563.1</v>
      </c>
      <c r="I9" s="49">
        <v>1563.1</v>
      </c>
      <c r="J9" s="49">
        <v>1563.1</v>
      </c>
      <c r="K9" s="49">
        <v>1563.1</v>
      </c>
      <c r="L9" s="49">
        <f t="shared" si="0"/>
        <v>7815.5</v>
      </c>
      <c r="AV9" s="52"/>
    </row>
    <row r="10" spans="1:12" ht="18.75" customHeight="1">
      <c r="A10" s="51" t="s">
        <v>478</v>
      </c>
      <c r="B10" s="51"/>
      <c r="D10" s="49">
        <v>4068</v>
      </c>
      <c r="E10" s="49">
        <v>4068</v>
      </c>
      <c r="F10" s="49">
        <v>4068</v>
      </c>
      <c r="G10" s="49">
        <v>4068</v>
      </c>
      <c r="H10" s="49">
        <v>4068</v>
      </c>
      <c r="I10" s="49">
        <v>4068</v>
      </c>
      <c r="J10" s="49">
        <v>4068</v>
      </c>
      <c r="K10" s="49">
        <v>4068</v>
      </c>
      <c r="L10" s="49">
        <f>SUM(D10:K10)</f>
        <v>32544</v>
      </c>
    </row>
    <row r="11" spans="1:12" ht="19.5" customHeight="1">
      <c r="A11" s="51" t="s">
        <v>278</v>
      </c>
      <c r="B11" s="51"/>
      <c r="D11" s="49">
        <v>500</v>
      </c>
      <c r="E11" s="49">
        <v>500</v>
      </c>
      <c r="F11" s="49">
        <v>500</v>
      </c>
      <c r="G11" s="49">
        <v>500</v>
      </c>
      <c r="H11" s="49">
        <v>0</v>
      </c>
      <c r="I11" s="49">
        <v>0</v>
      </c>
      <c r="L11" s="49">
        <f>SUM(D11:I11)</f>
        <v>2000</v>
      </c>
    </row>
    <row r="12" spans="1:12" ht="19.5" customHeight="1">
      <c r="A12" s="51" t="s">
        <v>435</v>
      </c>
      <c r="B12" s="51"/>
      <c r="C12" s="49">
        <v>0.66</v>
      </c>
      <c r="D12" s="49">
        <v>2344.65</v>
      </c>
      <c r="E12" s="49">
        <v>2344.65</v>
      </c>
      <c r="F12" s="49">
        <v>2344.65</v>
      </c>
      <c r="G12" s="49">
        <v>2344.65</v>
      </c>
      <c r="H12" s="49">
        <v>2344.65</v>
      </c>
      <c r="I12" s="49">
        <v>2344.65</v>
      </c>
      <c r="J12" s="49">
        <v>2344.65</v>
      </c>
      <c r="K12" s="49">
        <v>2344.65</v>
      </c>
      <c r="L12" s="49">
        <f t="shared" si="0"/>
        <v>11723.25</v>
      </c>
    </row>
    <row r="13" spans="1:16" s="55" customFormat="1" ht="18" customHeight="1">
      <c r="A13" s="53" t="s">
        <v>480</v>
      </c>
      <c r="B13" s="53"/>
      <c r="C13" s="53"/>
      <c r="D13" s="53">
        <v>163.42</v>
      </c>
      <c r="E13" s="53">
        <v>163.42</v>
      </c>
      <c r="F13" s="53">
        <v>163.42</v>
      </c>
      <c r="G13" s="53">
        <v>163.42</v>
      </c>
      <c r="H13" s="53">
        <v>163.42</v>
      </c>
      <c r="I13" s="53">
        <v>113.68</v>
      </c>
      <c r="J13" s="53">
        <v>515.11</v>
      </c>
      <c r="K13" s="53">
        <v>515.11</v>
      </c>
      <c r="L13" s="49">
        <f>SUM(D13:K13)</f>
        <v>1961</v>
      </c>
      <c r="M13" s="53"/>
      <c r="N13" s="53"/>
      <c r="O13" s="53"/>
      <c r="P13" s="54"/>
    </row>
    <row r="14" spans="1:12" ht="35.25" customHeight="1">
      <c r="A14" s="51" t="s">
        <v>498</v>
      </c>
      <c r="B14" s="51"/>
      <c r="E14" s="51"/>
      <c r="L14" s="49">
        <f t="shared" si="0"/>
        <v>0</v>
      </c>
    </row>
    <row r="15" spans="1:12" ht="32.25" customHeight="1">
      <c r="A15" s="51" t="s">
        <v>496</v>
      </c>
      <c r="B15" s="51"/>
      <c r="E15" s="51"/>
      <c r="L15" s="49">
        <f t="shared" si="0"/>
        <v>0</v>
      </c>
    </row>
    <row r="16" spans="1:12" ht="24" customHeight="1">
      <c r="A16" s="51" t="s">
        <v>489</v>
      </c>
      <c r="B16" s="51"/>
      <c r="E16" s="51"/>
      <c r="L16" s="49">
        <f t="shared" si="0"/>
        <v>0</v>
      </c>
    </row>
    <row r="17" spans="1:12" ht="36" customHeight="1">
      <c r="A17" s="51" t="s">
        <v>490</v>
      </c>
      <c r="B17" s="51"/>
      <c r="E17" s="51"/>
      <c r="L17" s="49">
        <f t="shared" si="0"/>
        <v>0</v>
      </c>
    </row>
    <row r="18" spans="1:12" ht="38.25" customHeight="1">
      <c r="A18" s="51" t="s">
        <v>499</v>
      </c>
      <c r="B18" s="51"/>
      <c r="E18" s="51"/>
      <c r="L18" s="49">
        <f t="shared" si="0"/>
        <v>0</v>
      </c>
    </row>
    <row r="19" spans="1:12" ht="38.25" customHeight="1">
      <c r="A19" s="51" t="s">
        <v>504</v>
      </c>
      <c r="B19" s="51"/>
      <c r="E19" s="51"/>
      <c r="I19" s="49">
        <v>18224</v>
      </c>
      <c r="L19" s="49">
        <v>18224</v>
      </c>
    </row>
    <row r="20" spans="1:12" ht="34.5" customHeight="1">
      <c r="A20" s="51" t="s">
        <v>226</v>
      </c>
      <c r="B20" s="51"/>
      <c r="E20" s="51"/>
      <c r="L20" s="49">
        <f t="shared" si="0"/>
        <v>0</v>
      </c>
    </row>
    <row r="21" spans="1:12" ht="34.5" customHeight="1">
      <c r="A21" s="51" t="s">
        <v>66</v>
      </c>
      <c r="B21" s="51"/>
      <c r="E21" s="51"/>
      <c r="J21" s="49">
        <v>3628.4</v>
      </c>
      <c r="L21" s="49">
        <v>3628.4</v>
      </c>
    </row>
    <row r="22" spans="1:12" ht="34.5" customHeight="1">
      <c r="A22" s="51" t="s">
        <v>112</v>
      </c>
      <c r="B22" s="51"/>
      <c r="E22" s="51"/>
      <c r="J22" s="49">
        <v>2719.64</v>
      </c>
      <c r="L22" s="49">
        <v>2719.64</v>
      </c>
    </row>
    <row r="23" spans="1:12" ht="39.75" customHeight="1">
      <c r="A23" s="51" t="s">
        <v>406</v>
      </c>
      <c r="B23" s="51"/>
      <c r="E23" s="51"/>
      <c r="H23" s="49">
        <v>25854.32</v>
      </c>
      <c r="L23" s="49">
        <f t="shared" si="0"/>
        <v>25854.32</v>
      </c>
    </row>
    <row r="24" spans="1:12" ht="18.75" customHeight="1">
      <c r="A24" s="51" t="s">
        <v>233</v>
      </c>
      <c r="B24" s="51"/>
      <c r="L24" s="49">
        <f t="shared" si="0"/>
        <v>0</v>
      </c>
    </row>
    <row r="25" spans="1:12" ht="20.25" customHeight="1">
      <c r="A25" s="51" t="s">
        <v>510</v>
      </c>
      <c r="B25" s="51"/>
      <c r="L25" s="49">
        <f t="shared" si="0"/>
        <v>0</v>
      </c>
    </row>
    <row r="26" spans="1:12" ht="37.5" customHeight="1">
      <c r="A26" s="51" t="s">
        <v>106</v>
      </c>
      <c r="B26" s="51"/>
      <c r="I26" s="49">
        <v>3195.68</v>
      </c>
      <c r="L26" s="49">
        <v>3195.68</v>
      </c>
    </row>
    <row r="27" spans="1:12" ht="23.25" customHeight="1">
      <c r="A27" s="51" t="s">
        <v>511</v>
      </c>
      <c r="B27" s="51"/>
      <c r="L27" s="49">
        <f t="shared" si="0"/>
        <v>0</v>
      </c>
    </row>
    <row r="28" spans="1:12" ht="53.25" customHeight="1">
      <c r="A28" s="51" t="s">
        <v>782</v>
      </c>
      <c r="B28" s="51"/>
      <c r="I28" s="49">
        <v>1700.41</v>
      </c>
      <c r="L28" s="49">
        <v>1700.41</v>
      </c>
    </row>
    <row r="29" spans="1:12" ht="29.25" customHeight="1">
      <c r="A29" s="51" t="s">
        <v>66</v>
      </c>
      <c r="B29" s="51"/>
      <c r="J29" s="49">
        <v>18158.31</v>
      </c>
      <c r="L29" s="49">
        <v>18158.31</v>
      </c>
    </row>
    <row r="30" spans="1:12" ht="91.5" customHeight="1">
      <c r="A30" s="51" t="s">
        <v>750</v>
      </c>
      <c r="B30" s="51"/>
      <c r="I30" s="49">
        <v>3122.8</v>
      </c>
      <c r="L30" s="49">
        <v>3122.8</v>
      </c>
    </row>
    <row r="31" spans="1:12" ht="37.5" customHeight="1">
      <c r="A31" s="51" t="s">
        <v>751</v>
      </c>
      <c r="B31" s="51"/>
      <c r="I31" s="49">
        <v>832.86</v>
      </c>
      <c r="L31" s="49">
        <v>832.86</v>
      </c>
    </row>
    <row r="32" spans="1:12" ht="39" customHeight="1">
      <c r="A32" s="51" t="s">
        <v>571</v>
      </c>
      <c r="B32" s="51"/>
      <c r="G32" s="49">
        <v>130</v>
      </c>
      <c r="L32" s="49">
        <f t="shared" si="0"/>
        <v>130</v>
      </c>
    </row>
    <row r="33" spans="1:12" ht="38.25" customHeight="1">
      <c r="A33" s="51" t="s">
        <v>572</v>
      </c>
      <c r="B33" s="51"/>
      <c r="G33" s="49">
        <v>414.16</v>
      </c>
      <c r="L33" s="49">
        <f t="shared" si="0"/>
        <v>414.16</v>
      </c>
    </row>
    <row r="34" spans="1:12" ht="33" customHeight="1">
      <c r="A34" s="51" t="s">
        <v>573</v>
      </c>
      <c r="B34" s="51"/>
      <c r="G34" s="49">
        <v>470</v>
      </c>
      <c r="L34" s="49">
        <f t="shared" si="0"/>
        <v>470</v>
      </c>
    </row>
    <row r="35" spans="1:12" ht="36" customHeight="1">
      <c r="A35" s="51" t="s">
        <v>675</v>
      </c>
      <c r="B35" s="51"/>
      <c r="H35" s="49">
        <v>147500</v>
      </c>
      <c r="L35" s="49">
        <f t="shared" si="0"/>
        <v>147500</v>
      </c>
    </row>
    <row r="36" spans="1:12" ht="36.75" customHeight="1">
      <c r="A36" s="51" t="s">
        <v>574</v>
      </c>
      <c r="B36" s="51"/>
      <c r="F36" s="49">
        <v>2276.64</v>
      </c>
      <c r="L36" s="49">
        <f t="shared" si="0"/>
        <v>2276.64</v>
      </c>
    </row>
    <row r="37" spans="1:12" ht="55.5" customHeight="1">
      <c r="A37" s="51" t="s">
        <v>575</v>
      </c>
      <c r="B37" s="51"/>
      <c r="F37" s="49">
        <v>878.32</v>
      </c>
      <c r="L37" s="49">
        <f t="shared" si="0"/>
        <v>878.32</v>
      </c>
    </row>
    <row r="38" spans="1:12" ht="18" customHeight="1">
      <c r="A38" s="51" t="s">
        <v>576</v>
      </c>
      <c r="B38" s="51"/>
      <c r="E38" s="49">
        <v>219.08</v>
      </c>
      <c r="L38" s="49">
        <f t="shared" si="0"/>
        <v>219.08</v>
      </c>
    </row>
    <row r="39" spans="1:12" ht="18" customHeight="1">
      <c r="A39" s="51" t="s">
        <v>577</v>
      </c>
      <c r="B39" s="51"/>
      <c r="D39" s="49">
        <v>414.16</v>
      </c>
      <c r="L39" s="49">
        <f t="shared" si="0"/>
        <v>414.16</v>
      </c>
    </row>
    <row r="40" spans="1:12" ht="18" customHeight="1">
      <c r="A40" s="51" t="s">
        <v>578</v>
      </c>
      <c r="B40" s="51"/>
      <c r="D40" s="49">
        <v>414.16</v>
      </c>
      <c r="L40" s="49">
        <f t="shared" si="0"/>
        <v>414.16</v>
      </c>
    </row>
    <row r="41" spans="1:12" ht="18" customHeight="1">
      <c r="A41" s="51" t="s">
        <v>669</v>
      </c>
      <c r="B41" s="51"/>
      <c r="H41" s="49">
        <v>9000</v>
      </c>
      <c r="L41" s="49">
        <f t="shared" si="0"/>
        <v>9000</v>
      </c>
    </row>
    <row r="42" spans="1:12" ht="27.75" customHeight="1">
      <c r="A42" s="51" t="s">
        <v>640</v>
      </c>
      <c r="B42" s="51"/>
      <c r="H42" s="49">
        <v>91.2</v>
      </c>
      <c r="L42" s="49">
        <f t="shared" si="0"/>
        <v>91.2</v>
      </c>
    </row>
    <row r="43" spans="1:12" ht="18">
      <c r="A43" s="51" t="s">
        <v>529</v>
      </c>
      <c r="B43" s="51"/>
      <c r="L43" s="49">
        <f t="shared" si="0"/>
        <v>0</v>
      </c>
    </row>
    <row r="44" spans="1:12" ht="18">
      <c r="A44" s="49" t="s">
        <v>415</v>
      </c>
      <c r="D44" s="50">
        <f aca="true" t="shared" si="1" ref="D44:I44">SUM(D6:D43)</f>
        <v>15044.914999999999</v>
      </c>
      <c r="E44" s="50">
        <f t="shared" si="1"/>
        <v>25803.675</v>
      </c>
      <c r="F44" s="50">
        <f t="shared" si="1"/>
        <v>28739.554999999997</v>
      </c>
      <c r="G44" s="50">
        <f t="shared" si="1"/>
        <v>26598.754999999997</v>
      </c>
      <c r="H44" s="50">
        <f t="shared" si="1"/>
        <v>207530.115</v>
      </c>
      <c r="I44" s="50">
        <f t="shared" si="1"/>
        <v>52110.61000000001</v>
      </c>
      <c r="J44" s="50">
        <f>SUM(J6:J43)</f>
        <v>49942.64</v>
      </c>
      <c r="K44" s="50">
        <f>SUM(K6:K43)</f>
        <v>25436.29</v>
      </c>
      <c r="L44" s="50">
        <f>SUM(D44:K44)</f>
        <v>431206.555</v>
      </c>
    </row>
    <row r="45" spans="1:12" ht="36">
      <c r="A45" s="51" t="s">
        <v>461</v>
      </c>
      <c r="D45" s="50">
        <v>40189.99</v>
      </c>
      <c r="E45" s="50">
        <v>34021.4</v>
      </c>
      <c r="F45" s="50">
        <v>56730.72</v>
      </c>
      <c r="G45" s="50">
        <v>43348.79</v>
      </c>
      <c r="H45" s="50">
        <v>45604.41</v>
      </c>
      <c r="I45" s="50">
        <v>47908.33</v>
      </c>
      <c r="J45" s="50">
        <v>57530.54</v>
      </c>
      <c r="K45" s="50">
        <v>45590.26</v>
      </c>
      <c r="L45" s="50">
        <f>SUM(D45:K45)</f>
        <v>370924.44</v>
      </c>
    </row>
    <row r="46" spans="1:12" s="56" customFormat="1" ht="36">
      <c r="A46" s="51" t="s">
        <v>258</v>
      </c>
      <c r="G46" s="50">
        <f>16425.6+1948.27+2454.4</f>
        <v>20828.27</v>
      </c>
      <c r="H46" s="50">
        <f>46808.7+924.92</f>
        <v>47733.619999999995</v>
      </c>
      <c r="I46" s="50">
        <v>19160.2</v>
      </c>
      <c r="J46" s="50"/>
      <c r="K46" s="50">
        <f>28085.26+3701.08</f>
        <v>31786.339999999997</v>
      </c>
      <c r="L46" s="50">
        <f>SUM(G46:K46)</f>
        <v>119508.43</v>
      </c>
    </row>
    <row r="47" spans="1:12" s="50" customFormat="1" ht="18">
      <c r="A47" s="50" t="s">
        <v>487</v>
      </c>
      <c r="L47" s="50">
        <f>L2+L45+L46+L48+L49-L44</f>
        <v>69166.35499999998</v>
      </c>
    </row>
    <row r="48" spans="1:12" s="50" customFormat="1" ht="18">
      <c r="A48" s="50" t="s">
        <v>603</v>
      </c>
      <c r="B48" s="57"/>
      <c r="G48" s="50">
        <v>378</v>
      </c>
      <c r="I48" s="50">
        <v>400</v>
      </c>
      <c r="K48" s="50">
        <v>240</v>
      </c>
      <c r="L48" s="50">
        <f>SUM(G48:K48)</f>
        <v>1018</v>
      </c>
    </row>
    <row r="49" spans="1:12" s="50" customFormat="1" ht="18">
      <c r="A49" s="50" t="s">
        <v>527</v>
      </c>
      <c r="B49" s="57"/>
      <c r="G49" s="50">
        <v>3675</v>
      </c>
      <c r="H49" s="50">
        <v>1513.5</v>
      </c>
      <c r="I49" s="50">
        <v>600</v>
      </c>
      <c r="K49" s="50">
        <v>140</v>
      </c>
      <c r="L49" s="50">
        <f>SUM(G49:K49)</f>
        <v>5928.5</v>
      </c>
    </row>
    <row r="50" spans="2:7" ht="18">
      <c r="B50" s="58"/>
      <c r="C50" s="80" t="s">
        <v>483</v>
      </c>
      <c r="D50" s="81"/>
      <c r="E50" s="81"/>
      <c r="F50" s="81"/>
      <c r="G50" s="82"/>
    </row>
    <row r="51" spans="2:7" ht="18">
      <c r="B51" s="58"/>
      <c r="C51" s="59"/>
      <c r="D51" s="60"/>
      <c r="E51" s="60"/>
      <c r="F51" s="60"/>
      <c r="G51" s="60"/>
    </row>
    <row r="54" ht="18">
      <c r="H54" s="49" t="s">
        <v>428</v>
      </c>
    </row>
    <row r="65" spans="2:7" ht="18">
      <c r="B65" s="58"/>
      <c r="C65" s="80"/>
      <c r="D65" s="81"/>
      <c r="E65" s="81"/>
      <c r="F65" s="81"/>
      <c r="G65" s="82"/>
    </row>
  </sheetData>
  <sheetProtection/>
  <mergeCells count="2">
    <mergeCell ref="C50:G50"/>
    <mergeCell ref="C65:G65"/>
  </mergeCells>
  <printOptions/>
  <pageMargins left="0.7480314960629921" right="0.7480314960629921" top="0.984251968503937" bottom="0.984251968503937" header="0.5118110236220472" footer="0.5118110236220472"/>
  <pageSetup orientation="landscape" paperSize="9" scale="59" r:id="rId1"/>
  <rowBreaks count="1" manualBreakCount="1">
    <brk id="34" max="52" man="1"/>
  </rowBreaks>
  <colBreaks count="1" manualBreakCount="1">
    <brk id="14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3">
      <selection activeCell="P36" sqref="P36"/>
    </sheetView>
  </sheetViews>
  <sheetFormatPr defaultColWidth="9.00390625" defaultRowHeight="12.75"/>
  <cols>
    <col min="1" max="1" width="34.375" style="14" customWidth="1"/>
    <col min="2" max="2" width="11.375" style="14" customWidth="1"/>
    <col min="3" max="3" width="7.25390625" style="14" customWidth="1"/>
    <col min="4" max="4" width="8.75390625" style="14" customWidth="1"/>
    <col min="5" max="5" width="7.125" style="14" customWidth="1"/>
    <col min="6" max="6" width="8.875" style="14" customWidth="1"/>
    <col min="7" max="7" width="8.375" style="14" customWidth="1"/>
    <col min="8" max="8" width="9.125" style="14" customWidth="1"/>
    <col min="9" max="9" width="7.25390625" style="14" customWidth="1"/>
    <col min="10" max="11" width="9.125" style="14" customWidth="1"/>
    <col min="12" max="12" width="10.375" style="14" customWidth="1"/>
    <col min="13" max="16384" width="9.125" style="14" customWidth="1"/>
  </cols>
  <sheetData>
    <row r="1" spans="1:16" s="12" customFormat="1" ht="12.75">
      <c r="A1" s="2" t="s">
        <v>422</v>
      </c>
      <c r="B1" s="2">
        <v>1648.9</v>
      </c>
      <c r="C1" s="2"/>
      <c r="D1" s="2"/>
      <c r="E1" s="2"/>
      <c r="F1" s="2"/>
      <c r="G1" s="2"/>
      <c r="H1" s="2"/>
      <c r="I1" s="2"/>
      <c r="J1" s="2"/>
      <c r="K1" s="2" t="s">
        <v>780</v>
      </c>
      <c r="L1" s="2"/>
      <c r="M1" s="2"/>
      <c r="N1" s="2"/>
      <c r="O1" s="2"/>
      <c r="P1" s="2"/>
    </row>
    <row r="2" spans="1:16" ht="12.75">
      <c r="A2" s="1" t="s">
        <v>421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2" customFormat="1" ht="12.75">
      <c r="A3" s="2" t="s">
        <v>409</v>
      </c>
      <c r="B3" s="2" t="s">
        <v>410</v>
      </c>
      <c r="C3" s="2" t="s">
        <v>434</v>
      </c>
      <c r="D3" s="2" t="s">
        <v>438</v>
      </c>
      <c r="E3" s="2" t="s">
        <v>437</v>
      </c>
      <c r="F3" s="2" t="s">
        <v>436</v>
      </c>
      <c r="G3" s="2" t="s">
        <v>413</v>
      </c>
      <c r="H3" s="2" t="s">
        <v>414</v>
      </c>
      <c r="I3" s="2" t="s">
        <v>416</v>
      </c>
      <c r="J3" s="2" t="s">
        <v>417</v>
      </c>
      <c r="K3" s="2" t="s">
        <v>423</v>
      </c>
      <c r="L3" s="2" t="s">
        <v>424</v>
      </c>
      <c r="M3" s="2" t="s">
        <v>425</v>
      </c>
      <c r="N3" s="2" t="s">
        <v>426</v>
      </c>
      <c r="O3" s="2" t="s">
        <v>434</v>
      </c>
      <c r="P3" s="2" t="s">
        <v>427</v>
      </c>
    </row>
    <row r="4" spans="1:16" ht="12.75">
      <c r="A4" s="1" t="s">
        <v>411</v>
      </c>
      <c r="B4" s="1">
        <v>1.57</v>
      </c>
      <c r="C4" s="1"/>
      <c r="D4" s="1"/>
      <c r="E4" s="1"/>
      <c r="F4" s="1">
        <v>2588.77</v>
      </c>
      <c r="G4" s="1">
        <v>2588.77</v>
      </c>
      <c r="H4" s="1">
        <v>2588.77</v>
      </c>
      <c r="I4" s="1">
        <v>2588.77</v>
      </c>
      <c r="J4" s="1">
        <v>2588.77</v>
      </c>
      <c r="K4" s="1"/>
      <c r="L4" s="1"/>
      <c r="M4" s="1"/>
      <c r="N4" s="1"/>
      <c r="O4" s="1"/>
      <c r="P4" s="1">
        <f aca="true" t="shared" si="0" ref="P4:P30">SUM(C4:O4)</f>
        <v>12943.85</v>
      </c>
    </row>
    <row r="5" spans="1:16" ht="12.75">
      <c r="A5" s="1" t="s">
        <v>451</v>
      </c>
      <c r="B5" s="1">
        <v>1.6</v>
      </c>
      <c r="C5" s="1"/>
      <c r="D5" s="1"/>
      <c r="E5" s="1"/>
      <c r="F5" s="1">
        <v>2638.24</v>
      </c>
      <c r="G5" s="1">
        <v>2638.24</v>
      </c>
      <c r="H5" s="1">
        <v>2638.24</v>
      </c>
      <c r="I5" s="1">
        <v>2638.24</v>
      </c>
      <c r="J5" s="1">
        <v>2638.24</v>
      </c>
      <c r="K5" s="1"/>
      <c r="L5" s="1"/>
      <c r="M5" s="1"/>
      <c r="N5" s="1"/>
      <c r="O5" s="1"/>
      <c r="P5" s="1">
        <f t="shared" si="0"/>
        <v>13191.199999999999</v>
      </c>
    </row>
    <row r="6" spans="1:16" ht="12.75">
      <c r="A6" s="1" t="s">
        <v>412</v>
      </c>
      <c r="B6" s="1">
        <v>1.6</v>
      </c>
      <c r="C6" s="1"/>
      <c r="D6" s="1"/>
      <c r="E6" s="1"/>
      <c r="F6" s="1">
        <v>2638.24</v>
      </c>
      <c r="G6" s="1">
        <v>2638.24</v>
      </c>
      <c r="H6" s="1">
        <v>2638.24</v>
      </c>
      <c r="I6" s="1">
        <v>2638.24</v>
      </c>
      <c r="J6" s="1">
        <v>2638.24</v>
      </c>
      <c r="K6" s="1"/>
      <c r="L6" s="1"/>
      <c r="M6" s="1"/>
      <c r="N6" s="1"/>
      <c r="O6" s="1"/>
      <c r="P6" s="1">
        <f t="shared" si="0"/>
        <v>13191.199999999999</v>
      </c>
    </row>
    <row r="7" spans="1:16" ht="12.75">
      <c r="A7" s="1" t="s">
        <v>435</v>
      </c>
      <c r="B7" s="1">
        <v>0.66</v>
      </c>
      <c r="C7" s="1"/>
      <c r="D7" s="1"/>
      <c r="E7" s="1"/>
      <c r="F7" s="1">
        <v>1088.27</v>
      </c>
      <c r="G7" s="1">
        <v>1088.27</v>
      </c>
      <c r="H7" s="1">
        <v>1088.27</v>
      </c>
      <c r="I7" s="1">
        <v>1088.27</v>
      </c>
      <c r="J7" s="1">
        <v>1088.27</v>
      </c>
      <c r="K7" s="1"/>
      <c r="L7" s="1"/>
      <c r="M7" s="1"/>
      <c r="N7" s="1"/>
      <c r="O7" s="1"/>
      <c r="P7" s="1">
        <f t="shared" si="0"/>
        <v>5441.35</v>
      </c>
    </row>
    <row r="8" spans="1:16" ht="12.75">
      <c r="A8" s="1" t="s">
        <v>468</v>
      </c>
      <c r="B8" s="1">
        <v>0.44</v>
      </c>
      <c r="C8" s="1"/>
      <c r="D8" s="1"/>
      <c r="E8" s="1"/>
      <c r="F8" s="1">
        <v>725.52</v>
      </c>
      <c r="G8" s="1">
        <v>725.52</v>
      </c>
      <c r="H8" s="1">
        <v>725.52</v>
      </c>
      <c r="I8" s="1">
        <v>725.52</v>
      </c>
      <c r="J8" s="1">
        <v>725.52</v>
      </c>
      <c r="K8" s="1"/>
      <c r="L8" s="1"/>
      <c r="M8" s="1"/>
      <c r="N8" s="1"/>
      <c r="O8" s="1"/>
      <c r="P8" s="1">
        <f t="shared" si="0"/>
        <v>3627.6</v>
      </c>
    </row>
    <row r="9" spans="1:16" ht="12.75">
      <c r="A9" s="3" t="s">
        <v>480</v>
      </c>
      <c r="B9" s="1"/>
      <c r="C9" s="1"/>
      <c r="D9" s="1"/>
      <c r="E9" s="1"/>
      <c r="F9" s="1">
        <v>89.69</v>
      </c>
      <c r="G9" s="1">
        <v>89.69</v>
      </c>
      <c r="H9" s="1">
        <v>52.76</v>
      </c>
      <c r="I9" s="1">
        <v>224.59</v>
      </c>
      <c r="J9" s="1">
        <v>224.59</v>
      </c>
      <c r="K9" s="1"/>
      <c r="L9" s="1"/>
      <c r="M9" s="1"/>
      <c r="N9" s="1"/>
      <c r="O9" s="1"/>
      <c r="P9" s="1">
        <f t="shared" si="0"/>
        <v>681.32</v>
      </c>
    </row>
    <row r="10" spans="1:16" ht="12.75">
      <c r="A10" s="3" t="s">
        <v>478</v>
      </c>
      <c r="B10" s="1"/>
      <c r="C10" s="1"/>
      <c r="D10" s="1"/>
      <c r="E10" s="1"/>
      <c r="F10" s="1">
        <v>2034</v>
      </c>
      <c r="G10" s="1">
        <v>2034</v>
      </c>
      <c r="H10" s="1">
        <v>2034</v>
      </c>
      <c r="I10" s="1">
        <v>2034</v>
      </c>
      <c r="J10" s="1">
        <v>2034</v>
      </c>
      <c r="K10" s="1"/>
      <c r="L10" s="1"/>
      <c r="M10" s="1"/>
      <c r="N10" s="1"/>
      <c r="O10" s="1"/>
      <c r="P10" s="1">
        <f t="shared" si="0"/>
        <v>10170</v>
      </c>
    </row>
    <row r="11" spans="1:16" ht="22.5">
      <c r="A11" s="3" t="s">
        <v>498</v>
      </c>
      <c r="B11" s="1"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>
        <f t="shared" si="0"/>
        <v>0</v>
      </c>
    </row>
    <row r="12" spans="1:16" ht="12.75">
      <c r="A12" s="1" t="s">
        <v>506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f t="shared" si="0"/>
        <v>0</v>
      </c>
    </row>
    <row r="13" spans="1:16" ht="12.75">
      <c r="A13" s="1" t="s">
        <v>218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 t="shared" si="0"/>
        <v>0</v>
      </c>
    </row>
    <row r="14" spans="1:16" ht="12.75">
      <c r="A14" s="1" t="s">
        <v>226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si="0"/>
        <v>0</v>
      </c>
    </row>
    <row r="15" spans="1:16" ht="12.75">
      <c r="A15" s="1" t="s">
        <v>499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f t="shared" si="0"/>
        <v>0</v>
      </c>
    </row>
    <row r="16" spans="1:16" ht="12.75">
      <c r="A16" s="1" t="s">
        <v>492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f t="shared" si="0"/>
        <v>0</v>
      </c>
    </row>
    <row r="17" spans="1:16" ht="12.75">
      <c r="A17" s="1" t="s">
        <v>493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si="0"/>
        <v>0</v>
      </c>
    </row>
    <row r="18" spans="1:16" ht="12.75">
      <c r="A18" s="1" t="s">
        <v>494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f t="shared" si="0"/>
        <v>0</v>
      </c>
    </row>
    <row r="19" spans="1:16" ht="12.75">
      <c r="A19" s="1" t="s">
        <v>663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f t="shared" si="0"/>
        <v>0</v>
      </c>
    </row>
    <row r="20" spans="1:16" ht="12.75">
      <c r="A20" s="1" t="s">
        <v>92</v>
      </c>
      <c r="B20" s="1"/>
      <c r="C20" s="1"/>
      <c r="D20" s="1"/>
      <c r="E20" s="1"/>
      <c r="F20" s="1"/>
      <c r="G20" s="1"/>
      <c r="H20" s="1"/>
      <c r="I20" s="1"/>
      <c r="J20" s="1">
        <v>24000</v>
      </c>
      <c r="K20" s="1"/>
      <c r="L20" s="1"/>
      <c r="M20" s="1"/>
      <c r="N20" s="1"/>
      <c r="O20" s="1"/>
      <c r="P20" s="1">
        <v>24000</v>
      </c>
    </row>
    <row r="21" spans="1:16" ht="12.75">
      <c r="A21" s="1" t="s">
        <v>781</v>
      </c>
      <c r="B21" s="1"/>
      <c r="C21" s="1"/>
      <c r="D21" s="1"/>
      <c r="E21" s="1"/>
      <c r="F21" s="1"/>
      <c r="G21" s="1"/>
      <c r="H21" s="1">
        <v>211.08</v>
      </c>
      <c r="I21" s="1"/>
      <c r="J21" s="1"/>
      <c r="K21" s="1"/>
      <c r="L21" s="1"/>
      <c r="M21" s="1"/>
      <c r="N21" s="1"/>
      <c r="O21" s="1"/>
      <c r="P21" s="1">
        <v>211.08</v>
      </c>
    </row>
    <row r="22" spans="1:16" ht="22.5">
      <c r="A22" s="3" t="s">
        <v>533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f t="shared" si="0"/>
        <v>0</v>
      </c>
    </row>
    <row r="23" spans="1:16" ht="22.5">
      <c r="A23" s="3" t="s">
        <v>539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>
        <f t="shared" si="0"/>
        <v>0</v>
      </c>
    </row>
    <row r="24" spans="1:16" ht="12.75">
      <c r="A24" s="3" t="s">
        <v>702</v>
      </c>
      <c r="B24" s="1"/>
      <c r="C24" s="1"/>
      <c r="D24" s="1"/>
      <c r="E24" s="1"/>
      <c r="F24" s="1">
        <v>103.54</v>
      </c>
      <c r="G24" s="1"/>
      <c r="H24" s="1"/>
      <c r="I24" s="1"/>
      <c r="J24" s="1"/>
      <c r="K24" s="1"/>
      <c r="L24" s="1"/>
      <c r="M24" s="1"/>
      <c r="N24" s="1"/>
      <c r="O24" s="1"/>
      <c r="P24" s="1">
        <v>103.54</v>
      </c>
    </row>
    <row r="25" spans="1:16" ht="12.75">
      <c r="A25" s="1" t="s">
        <v>522</v>
      </c>
      <c r="B25" s="1"/>
      <c r="C25" s="1"/>
      <c r="D25" s="1"/>
      <c r="E25" s="1"/>
      <c r="F25" s="1"/>
      <c r="G25" s="1"/>
      <c r="H25" s="1">
        <v>10468</v>
      </c>
      <c r="I25" s="1"/>
      <c r="J25" s="1"/>
      <c r="K25" s="1"/>
      <c r="L25" s="1"/>
      <c r="M25" s="1"/>
      <c r="N25" s="1"/>
      <c r="O25" s="1"/>
      <c r="P25" s="1">
        <f t="shared" si="0"/>
        <v>10468</v>
      </c>
    </row>
    <row r="26" spans="1:16" ht="22.5">
      <c r="A26" s="3" t="s">
        <v>608</v>
      </c>
      <c r="B26" s="1"/>
      <c r="C26" s="1"/>
      <c r="D26" s="1"/>
      <c r="E26" s="1"/>
      <c r="F26" s="1">
        <v>2445</v>
      </c>
      <c r="G26" s="1">
        <v>2445</v>
      </c>
      <c r="H26" s="1">
        <v>2445</v>
      </c>
      <c r="I26" s="1"/>
      <c r="J26" s="1"/>
      <c r="K26" s="1"/>
      <c r="L26" s="1"/>
      <c r="M26" s="1"/>
      <c r="N26" s="1"/>
      <c r="O26" s="1"/>
      <c r="P26" s="1">
        <f>SUM(F26:O26)</f>
        <v>7335</v>
      </c>
    </row>
    <row r="27" spans="1:16" ht="12.75">
      <c r="A27" s="1" t="s">
        <v>696</v>
      </c>
      <c r="B27" s="1"/>
      <c r="C27" s="1"/>
      <c r="D27" s="1"/>
      <c r="E27" s="1"/>
      <c r="F27" s="1">
        <v>414.16</v>
      </c>
      <c r="G27" s="1"/>
      <c r="H27" s="1"/>
      <c r="I27" s="1"/>
      <c r="J27" s="1"/>
      <c r="K27" s="1"/>
      <c r="L27" s="1"/>
      <c r="M27" s="1"/>
      <c r="N27" s="1"/>
      <c r="O27" s="1"/>
      <c r="P27" s="1">
        <f t="shared" si="0"/>
        <v>414.16</v>
      </c>
    </row>
    <row r="28" spans="1:16" ht="12.75">
      <c r="A28" s="1" t="s">
        <v>698</v>
      </c>
      <c r="B28" s="1"/>
      <c r="C28" s="1"/>
      <c r="D28" s="1"/>
      <c r="E28" s="1"/>
      <c r="F28" s="1">
        <v>896.32</v>
      </c>
      <c r="G28" s="1"/>
      <c r="H28" s="1"/>
      <c r="I28" s="1"/>
      <c r="J28" s="1"/>
      <c r="K28" s="1"/>
      <c r="L28" s="1"/>
      <c r="M28" s="1"/>
      <c r="N28" s="1"/>
      <c r="O28" s="1"/>
      <c r="P28" s="1">
        <f t="shared" si="0"/>
        <v>896.32</v>
      </c>
    </row>
    <row r="29" spans="1:16" ht="22.5">
      <c r="A29" s="3" t="s">
        <v>697</v>
      </c>
      <c r="B29" s="1"/>
      <c r="C29" s="1"/>
      <c r="D29" s="1"/>
      <c r="E29" s="1"/>
      <c r="F29" s="1">
        <v>1930.64</v>
      </c>
      <c r="G29" s="1"/>
      <c r="H29" s="1"/>
      <c r="I29" s="1"/>
      <c r="J29" s="1"/>
      <c r="K29" s="1"/>
      <c r="L29" s="1"/>
      <c r="M29" s="1"/>
      <c r="N29" s="1"/>
      <c r="O29" s="1"/>
      <c r="P29" s="1">
        <f t="shared" si="0"/>
        <v>1930.64</v>
      </c>
    </row>
    <row r="30" spans="1:16" ht="12.75">
      <c r="A30" s="3" t="s">
        <v>210</v>
      </c>
      <c r="B30" s="1"/>
      <c r="C30" s="1"/>
      <c r="D30" s="1"/>
      <c r="E30" s="1"/>
      <c r="F30" s="1">
        <v>310.62</v>
      </c>
      <c r="G30" s="1"/>
      <c r="H30" s="1"/>
      <c r="I30" s="1"/>
      <c r="J30" s="1"/>
      <c r="K30" s="1"/>
      <c r="L30" s="1"/>
      <c r="M30" s="1"/>
      <c r="N30" s="1"/>
      <c r="O30" s="1"/>
      <c r="P30" s="1">
        <f t="shared" si="0"/>
        <v>310.62</v>
      </c>
    </row>
    <row r="31" spans="1:16" ht="12.75">
      <c r="A31" s="1" t="s">
        <v>415</v>
      </c>
      <c r="B31" s="1"/>
      <c r="C31" s="1">
        <f aca="true" t="shared" si="1" ref="C31:J31">SUM(C4:C29)</f>
        <v>0</v>
      </c>
      <c r="D31" s="1">
        <f t="shared" si="1"/>
        <v>0</v>
      </c>
      <c r="E31" s="1">
        <f t="shared" si="1"/>
        <v>0</v>
      </c>
      <c r="F31" s="1">
        <f>SUM(F4:F30)</f>
        <v>17903.010000000002</v>
      </c>
      <c r="G31" s="1">
        <f>SUM(G4:G30)</f>
        <v>14247.730000000001</v>
      </c>
      <c r="H31" s="1">
        <f t="shared" si="1"/>
        <v>24889.88</v>
      </c>
      <c r="I31" s="1">
        <f t="shared" si="1"/>
        <v>11937.630000000001</v>
      </c>
      <c r="J31" s="1">
        <f t="shared" si="1"/>
        <v>35937.630000000005</v>
      </c>
      <c r="K31" s="1">
        <f>SUM(K4:K30)</f>
        <v>0</v>
      </c>
      <c r="L31" s="1">
        <f>SUM(L4:L29)</f>
        <v>0</v>
      </c>
      <c r="M31" s="1">
        <f>SUM(M4:M29)</f>
        <v>0</v>
      </c>
      <c r="N31" s="1">
        <f>SUM(N4:N29)</f>
        <v>0</v>
      </c>
      <c r="O31" s="1">
        <f>SUM(O4:O29)</f>
        <v>0</v>
      </c>
      <c r="P31" s="1">
        <f>SUM(P4:P30)</f>
        <v>104915.87999999999</v>
      </c>
    </row>
    <row r="32" spans="1:16" s="26" customFormat="1" ht="12.75">
      <c r="A32" s="1" t="s">
        <v>419</v>
      </c>
      <c r="B32" s="1"/>
      <c r="C32" s="1"/>
      <c r="D32" s="1"/>
      <c r="E32" s="1"/>
      <c r="F32" s="1"/>
      <c r="G32" s="1">
        <v>20800.03</v>
      </c>
      <c r="H32" s="1">
        <v>24195.83</v>
      </c>
      <c r="I32" s="1">
        <v>14046.05</v>
      </c>
      <c r="J32" s="1">
        <v>27559.35</v>
      </c>
      <c r="K32" s="1"/>
      <c r="L32" s="1"/>
      <c r="M32" s="1"/>
      <c r="N32" s="1"/>
      <c r="O32" s="1"/>
      <c r="P32" s="1">
        <f>SUM(C32:O32)</f>
        <v>86601.26000000001</v>
      </c>
    </row>
    <row r="33" spans="1:16" s="26" customFormat="1" ht="12.75">
      <c r="A33" s="1" t="s">
        <v>403</v>
      </c>
      <c r="B33" s="62"/>
      <c r="C33" s="63"/>
      <c r="D33" s="63"/>
      <c r="E33" s="63"/>
      <c r="F33" s="64"/>
      <c r="G33" s="1"/>
      <c r="H33" s="1">
        <v>0</v>
      </c>
      <c r="I33" s="1"/>
      <c r="J33" s="1">
        <v>5582.08</v>
      </c>
      <c r="K33" s="1"/>
      <c r="L33" s="1"/>
      <c r="M33" s="1"/>
      <c r="N33" s="1"/>
      <c r="O33" s="1"/>
      <c r="P33" s="1">
        <f>SUM(H33:O33)</f>
        <v>5582.08</v>
      </c>
    </row>
    <row r="34" spans="1:16" s="12" customFormat="1" ht="12.75">
      <c r="A34" s="2" t="s">
        <v>420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>
        <f>P32+P33+P35+P36-P31</f>
        <v>-5786.039999999979</v>
      </c>
    </row>
    <row r="35" spans="1:16" s="12" customFormat="1" ht="12.75">
      <c r="A35" s="2" t="s">
        <v>603</v>
      </c>
      <c r="B35" s="2"/>
      <c r="C35" s="2"/>
      <c r="D35" s="2"/>
      <c r="E35" s="2"/>
      <c r="F35" s="2">
        <v>378</v>
      </c>
      <c r="G35" s="2"/>
      <c r="H35" s="2">
        <v>400</v>
      </c>
      <c r="I35" s="2"/>
      <c r="J35" s="2">
        <v>240</v>
      </c>
      <c r="K35" s="2"/>
      <c r="L35" s="2"/>
      <c r="M35" s="2"/>
      <c r="N35" s="2"/>
      <c r="O35" s="2"/>
      <c r="P35" s="2">
        <f>SUM(F35:O35)</f>
        <v>1018</v>
      </c>
    </row>
    <row r="36" spans="1:16" ht="12.75">
      <c r="A36" s="1" t="s">
        <v>527</v>
      </c>
      <c r="B36" s="1"/>
      <c r="C36" s="1"/>
      <c r="D36" s="1"/>
      <c r="E36" s="1"/>
      <c r="F36" s="1">
        <v>3675</v>
      </c>
      <c r="G36" s="1">
        <v>1513.5</v>
      </c>
      <c r="H36" s="1">
        <v>600</v>
      </c>
      <c r="I36" s="1"/>
      <c r="J36" s="1">
        <v>140</v>
      </c>
      <c r="K36" s="1"/>
      <c r="L36" s="1"/>
      <c r="M36" s="1"/>
      <c r="N36" s="1"/>
      <c r="O36" s="1"/>
      <c r="P36" s="1">
        <f>SUM(F36:O36)</f>
        <v>5928.5</v>
      </c>
    </row>
    <row r="37" spans="1:16" ht="12.75">
      <c r="A37" s="1"/>
      <c r="B37" s="62" t="s">
        <v>481</v>
      </c>
      <c r="C37" s="63"/>
      <c r="D37" s="63"/>
      <c r="E37" s="63"/>
      <c r="F37" s="64"/>
      <c r="G37" s="1"/>
      <c r="H37" s="1"/>
      <c r="I37" s="1" t="s">
        <v>428</v>
      </c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1" ht="12.75">
      <c r="G41" s="14" t="s">
        <v>428</v>
      </c>
    </row>
  </sheetData>
  <mergeCells count="2">
    <mergeCell ref="B33:F33"/>
    <mergeCell ref="B37:F37"/>
  </mergeCells>
  <printOptions/>
  <pageMargins left="0.75" right="0.75" top="1" bottom="1" header="0.5" footer="0.5"/>
  <pageSetup orientation="landscape" paperSize="9" scale="78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N28" sqref="N28"/>
    </sheetView>
  </sheetViews>
  <sheetFormatPr defaultColWidth="9.00390625" defaultRowHeight="12.75"/>
  <cols>
    <col min="1" max="1" width="34.375" style="14" customWidth="1"/>
    <col min="2" max="2" width="11.375" style="14" customWidth="1"/>
    <col min="3" max="3" width="7.25390625" style="14" customWidth="1"/>
    <col min="4" max="4" width="8.75390625" style="14" customWidth="1"/>
    <col min="5" max="5" width="7.125" style="14" customWidth="1"/>
    <col min="6" max="6" width="8.875" style="14" customWidth="1"/>
    <col min="7" max="7" width="8.375" style="14" customWidth="1"/>
    <col min="8" max="8" width="9.125" style="14" customWidth="1"/>
    <col min="9" max="9" width="7.25390625" style="14" customWidth="1"/>
    <col min="10" max="11" width="9.125" style="14" customWidth="1"/>
    <col min="12" max="12" width="10.375" style="14" customWidth="1"/>
    <col min="13" max="16384" width="9.125" style="14" customWidth="1"/>
  </cols>
  <sheetData>
    <row r="1" spans="1:16" s="12" customFormat="1" ht="12.75">
      <c r="A1" s="2" t="s">
        <v>422</v>
      </c>
      <c r="B1" s="2">
        <v>1949.8</v>
      </c>
      <c r="C1" s="2"/>
      <c r="D1" s="2"/>
      <c r="E1" s="2"/>
      <c r="F1" s="2"/>
      <c r="G1" s="2"/>
      <c r="H1" s="2"/>
      <c r="I1" s="2"/>
      <c r="J1" s="2"/>
      <c r="K1" s="2" t="s">
        <v>766</v>
      </c>
      <c r="L1" s="2"/>
      <c r="M1" s="2"/>
      <c r="N1" s="2"/>
      <c r="O1" s="2"/>
      <c r="P1" s="2"/>
    </row>
    <row r="2" spans="1:16" ht="12.75">
      <c r="A2" s="1" t="s">
        <v>421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2" customFormat="1" ht="12.75">
      <c r="A3" s="2" t="s">
        <v>409</v>
      </c>
      <c r="B3" s="2" t="s">
        <v>410</v>
      </c>
      <c r="C3" s="2" t="s">
        <v>434</v>
      </c>
      <c r="D3" s="2" t="s">
        <v>438</v>
      </c>
      <c r="E3" s="2" t="s">
        <v>437</v>
      </c>
      <c r="F3" s="2" t="s">
        <v>436</v>
      </c>
      <c r="G3" s="2" t="s">
        <v>413</v>
      </c>
      <c r="H3" s="2" t="s">
        <v>414</v>
      </c>
      <c r="I3" s="2" t="s">
        <v>416</v>
      </c>
      <c r="J3" s="2" t="s">
        <v>417</v>
      </c>
      <c r="K3" s="2" t="s">
        <v>423</v>
      </c>
      <c r="L3" s="2" t="s">
        <v>424</v>
      </c>
      <c r="M3" s="2" t="s">
        <v>425</v>
      </c>
      <c r="N3" s="2" t="s">
        <v>426</v>
      </c>
      <c r="O3" s="2" t="s">
        <v>434</v>
      </c>
      <c r="P3" s="2" t="s">
        <v>427</v>
      </c>
    </row>
    <row r="4" spans="1:16" ht="12.75">
      <c r="A4" s="1" t="s">
        <v>411</v>
      </c>
      <c r="B4" s="1">
        <v>1.57</v>
      </c>
      <c r="C4" s="1"/>
      <c r="D4" s="1"/>
      <c r="E4" s="1"/>
      <c r="F4" s="1">
        <v>3061.19</v>
      </c>
      <c r="G4" s="1">
        <v>3061.19</v>
      </c>
      <c r="H4" s="1">
        <v>3061.19</v>
      </c>
      <c r="I4" s="1">
        <v>3061.19</v>
      </c>
      <c r="J4" s="1">
        <v>3061.19</v>
      </c>
      <c r="K4" s="1"/>
      <c r="L4" s="1"/>
      <c r="M4" s="1"/>
      <c r="N4" s="1"/>
      <c r="O4" s="1"/>
      <c r="P4" s="1">
        <f aca="true" t="shared" si="0" ref="P4:P32">SUM(C4:O4)</f>
        <v>15305.95</v>
      </c>
    </row>
    <row r="5" spans="1:16" ht="12.75">
      <c r="A5" s="1" t="s">
        <v>451</v>
      </c>
      <c r="B5" s="1">
        <v>1.6</v>
      </c>
      <c r="C5" s="1"/>
      <c r="D5" s="1"/>
      <c r="E5" s="1"/>
      <c r="F5" s="1">
        <v>3119.68</v>
      </c>
      <c r="G5" s="1">
        <v>3119.68</v>
      </c>
      <c r="H5" s="1">
        <v>3119.68</v>
      </c>
      <c r="I5" s="1">
        <v>3119.68</v>
      </c>
      <c r="J5" s="1">
        <v>3119.68</v>
      </c>
      <c r="K5" s="1"/>
      <c r="L5" s="1"/>
      <c r="M5" s="1"/>
      <c r="N5" s="1"/>
      <c r="O5" s="1"/>
      <c r="P5" s="1">
        <f t="shared" si="0"/>
        <v>15598.4</v>
      </c>
    </row>
    <row r="6" spans="1:16" ht="12.75">
      <c r="A6" s="1" t="s">
        <v>412</v>
      </c>
      <c r="B6" s="1">
        <v>1.6</v>
      </c>
      <c r="C6" s="1"/>
      <c r="D6" s="1"/>
      <c r="E6" s="1"/>
      <c r="F6" s="1">
        <v>3119.68</v>
      </c>
      <c r="G6" s="1">
        <v>3119.68</v>
      </c>
      <c r="H6" s="1">
        <v>3119.68</v>
      </c>
      <c r="I6" s="1">
        <v>3119.68</v>
      </c>
      <c r="J6" s="1">
        <v>3119.68</v>
      </c>
      <c r="K6" s="1"/>
      <c r="L6" s="1"/>
      <c r="M6" s="1"/>
      <c r="N6" s="1"/>
      <c r="O6" s="1"/>
      <c r="P6" s="1">
        <f t="shared" si="0"/>
        <v>15598.4</v>
      </c>
    </row>
    <row r="7" spans="1:16" ht="12.75">
      <c r="A7" s="1" t="s">
        <v>435</v>
      </c>
      <c r="B7" s="1">
        <v>0.66</v>
      </c>
      <c r="C7" s="1"/>
      <c r="D7" s="1"/>
      <c r="E7" s="1"/>
      <c r="F7" s="1">
        <v>1286.87</v>
      </c>
      <c r="G7" s="1">
        <v>1286.87</v>
      </c>
      <c r="H7" s="1">
        <v>1286.87</v>
      </c>
      <c r="I7" s="1">
        <v>1286.87</v>
      </c>
      <c r="J7" s="1">
        <v>1286.87</v>
      </c>
      <c r="K7" s="1"/>
      <c r="L7" s="1"/>
      <c r="M7" s="1"/>
      <c r="N7" s="1"/>
      <c r="O7" s="1"/>
      <c r="P7" s="1">
        <f t="shared" si="0"/>
        <v>6434.349999999999</v>
      </c>
    </row>
    <row r="8" spans="1:16" ht="12.75">
      <c r="A8" s="1" t="s">
        <v>468</v>
      </c>
      <c r="B8" s="1">
        <v>0.44</v>
      </c>
      <c r="C8" s="1"/>
      <c r="D8" s="1"/>
      <c r="E8" s="1"/>
      <c r="F8" s="1">
        <v>857.91</v>
      </c>
      <c r="G8" s="1">
        <v>857.91</v>
      </c>
      <c r="H8" s="1">
        <v>857.91</v>
      </c>
      <c r="I8" s="1">
        <v>857.91</v>
      </c>
      <c r="J8" s="1">
        <v>857.91</v>
      </c>
      <c r="K8" s="1"/>
      <c r="L8" s="1"/>
      <c r="M8" s="1"/>
      <c r="N8" s="1"/>
      <c r="O8" s="1"/>
      <c r="P8" s="1">
        <f t="shared" si="0"/>
        <v>4289.55</v>
      </c>
    </row>
    <row r="9" spans="1:16" ht="12.75">
      <c r="A9" s="3" t="s">
        <v>480</v>
      </c>
      <c r="B9" s="1"/>
      <c r="C9" s="1"/>
      <c r="D9" s="1"/>
      <c r="E9" s="1"/>
      <c r="F9" s="1">
        <v>89.69</v>
      </c>
      <c r="G9" s="1">
        <v>89.69</v>
      </c>
      <c r="H9" s="1">
        <v>62.4</v>
      </c>
      <c r="I9" s="1">
        <v>282.72</v>
      </c>
      <c r="J9" s="1">
        <v>282.72</v>
      </c>
      <c r="K9" s="1"/>
      <c r="L9" s="1"/>
      <c r="M9" s="1"/>
      <c r="N9" s="1"/>
      <c r="O9" s="1"/>
      <c r="P9" s="1">
        <f t="shared" si="0"/>
        <v>807.22</v>
      </c>
    </row>
    <row r="10" spans="1:16" ht="12.75">
      <c r="A10" s="3" t="s">
        <v>478</v>
      </c>
      <c r="B10" s="1"/>
      <c r="C10" s="1"/>
      <c r="D10" s="1"/>
      <c r="E10" s="1"/>
      <c r="F10" s="1">
        <v>2034</v>
      </c>
      <c r="G10" s="1">
        <v>2034</v>
      </c>
      <c r="H10" s="1">
        <v>2034</v>
      </c>
      <c r="I10" s="1">
        <v>2034</v>
      </c>
      <c r="J10" s="1">
        <v>2034</v>
      </c>
      <c r="K10" s="1"/>
      <c r="L10" s="1"/>
      <c r="M10" s="1"/>
      <c r="N10" s="1"/>
      <c r="O10" s="1"/>
      <c r="P10" s="1">
        <f t="shared" si="0"/>
        <v>10170</v>
      </c>
    </row>
    <row r="11" spans="1:16" ht="22.5">
      <c r="A11" s="3" t="s">
        <v>608</v>
      </c>
      <c r="B11" s="1"/>
      <c r="C11" s="1"/>
      <c r="D11" s="1"/>
      <c r="E11" s="1"/>
      <c r="F11" s="1">
        <v>2445</v>
      </c>
      <c r="G11" s="1">
        <v>2445</v>
      </c>
      <c r="H11" s="1">
        <v>2445</v>
      </c>
      <c r="I11" s="1">
        <v>2445</v>
      </c>
      <c r="J11" s="1">
        <v>2445</v>
      </c>
      <c r="K11" s="1"/>
      <c r="L11" s="1"/>
      <c r="M11" s="1"/>
      <c r="N11" s="1"/>
      <c r="O11" s="1"/>
      <c r="P11" s="1">
        <f t="shared" si="0"/>
        <v>12225</v>
      </c>
    </row>
    <row r="12" spans="1:16" ht="22.5">
      <c r="A12" s="3" t="s">
        <v>498</v>
      </c>
      <c r="B12" s="1"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f t="shared" si="0"/>
        <v>0</v>
      </c>
    </row>
    <row r="13" spans="1:16" ht="12.75">
      <c r="A13" s="1" t="s">
        <v>506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 t="shared" si="0"/>
        <v>0</v>
      </c>
    </row>
    <row r="14" spans="1:16" ht="12.75">
      <c r="A14" s="1" t="s">
        <v>218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si="0"/>
        <v>0</v>
      </c>
    </row>
    <row r="15" spans="1:16" ht="12.75">
      <c r="A15" s="1" t="s">
        <v>226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f t="shared" si="0"/>
        <v>0</v>
      </c>
    </row>
    <row r="16" spans="1:16" ht="12.75">
      <c r="A16" s="1" t="s">
        <v>499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f t="shared" si="0"/>
        <v>0</v>
      </c>
    </row>
    <row r="17" spans="1:16" ht="12.75">
      <c r="A17" s="1" t="s">
        <v>492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si="0"/>
        <v>0</v>
      </c>
    </row>
    <row r="18" spans="1:16" ht="12.75">
      <c r="A18" s="1" t="s">
        <v>493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f t="shared" si="0"/>
        <v>0</v>
      </c>
    </row>
    <row r="19" spans="1:16" ht="12.75">
      <c r="A19" s="1" t="s">
        <v>494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f t="shared" si="0"/>
        <v>0</v>
      </c>
    </row>
    <row r="20" spans="1:16" ht="12.75">
      <c r="A20" s="1" t="s">
        <v>663</v>
      </c>
      <c r="B20" s="1"/>
      <c r="C20" s="1"/>
      <c r="D20" s="1"/>
      <c r="E20" s="1"/>
      <c r="F20" s="1"/>
      <c r="G20" s="1">
        <v>22500</v>
      </c>
      <c r="H20" s="1"/>
      <c r="I20" s="1"/>
      <c r="J20" s="1"/>
      <c r="K20" s="1"/>
      <c r="L20" s="1"/>
      <c r="M20" s="1"/>
      <c r="N20" s="1"/>
      <c r="O20" s="1"/>
      <c r="P20" s="1">
        <f t="shared" si="0"/>
        <v>22500</v>
      </c>
    </row>
    <row r="21" spans="1:16" ht="12.75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>
        <v>1117.32</v>
      </c>
      <c r="K21" s="1"/>
      <c r="L21" s="1"/>
      <c r="M21" s="1"/>
      <c r="N21" s="1"/>
      <c r="O21" s="1"/>
      <c r="P21" s="1">
        <v>1117.32</v>
      </c>
    </row>
    <row r="22" spans="1:16" ht="12.75">
      <c r="A22" s="1" t="s">
        <v>705</v>
      </c>
      <c r="B22" s="1"/>
      <c r="C22" s="1"/>
      <c r="D22" s="1"/>
      <c r="E22" s="1"/>
      <c r="F22" s="1">
        <v>828.32</v>
      </c>
      <c r="G22" s="1"/>
      <c r="H22" s="1"/>
      <c r="I22" s="1"/>
      <c r="J22" s="1"/>
      <c r="K22" s="1"/>
      <c r="L22" s="1"/>
      <c r="M22" s="1"/>
      <c r="N22" s="1"/>
      <c r="O22" s="1"/>
      <c r="P22" s="1">
        <f>SUM(C22:O22)</f>
        <v>828.32</v>
      </c>
    </row>
    <row r="23" spans="1:16" ht="12.75">
      <c r="A23" s="1" t="s">
        <v>702</v>
      </c>
      <c r="B23" s="1"/>
      <c r="C23" s="1"/>
      <c r="D23" s="1"/>
      <c r="E23" s="1"/>
      <c r="F23" s="1">
        <v>642.16</v>
      </c>
      <c r="G23" s="1"/>
      <c r="H23" s="1"/>
      <c r="I23" s="1"/>
      <c r="J23" s="1"/>
      <c r="K23" s="1"/>
      <c r="L23" s="1"/>
      <c r="M23" s="1"/>
      <c r="N23" s="1"/>
      <c r="O23" s="1"/>
      <c r="P23" s="1">
        <v>642.16</v>
      </c>
    </row>
    <row r="24" spans="1:16" ht="22.5">
      <c r="A24" s="3" t="s">
        <v>778</v>
      </c>
      <c r="B24" s="1"/>
      <c r="C24" s="1"/>
      <c r="D24" s="1"/>
      <c r="E24" s="1"/>
      <c r="F24" s="1"/>
      <c r="G24" s="1"/>
      <c r="H24" s="1">
        <v>414.16</v>
      </c>
      <c r="I24" s="1"/>
      <c r="J24" s="1"/>
      <c r="K24" s="1"/>
      <c r="L24" s="1"/>
      <c r="M24" s="1"/>
      <c r="N24" s="1"/>
      <c r="O24" s="1"/>
      <c r="P24" s="1">
        <v>414.16</v>
      </c>
    </row>
    <row r="25" spans="1:16" ht="22.5">
      <c r="A25" s="3" t="s">
        <v>533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>
        <f t="shared" si="0"/>
        <v>0</v>
      </c>
    </row>
    <row r="26" spans="1:16" ht="22.5">
      <c r="A26" s="3" t="s">
        <v>539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>
        <f t="shared" si="0"/>
        <v>0</v>
      </c>
    </row>
    <row r="27" spans="1:16" ht="12.75">
      <c r="A27" s="1" t="s">
        <v>522</v>
      </c>
      <c r="B27" s="1"/>
      <c r="C27" s="1"/>
      <c r="D27" s="1"/>
      <c r="E27" s="1"/>
      <c r="F27" s="1"/>
      <c r="G27" s="1"/>
      <c r="H27" s="1">
        <v>10983</v>
      </c>
      <c r="I27" s="1"/>
      <c r="J27" s="1"/>
      <c r="K27" s="1"/>
      <c r="L27" s="1"/>
      <c r="M27" s="1"/>
      <c r="N27" s="1"/>
      <c r="O27" s="1"/>
      <c r="P27" s="1">
        <f t="shared" si="0"/>
        <v>10983</v>
      </c>
    </row>
    <row r="28" spans="1:16" ht="12.75">
      <c r="A28" s="1" t="s">
        <v>105</v>
      </c>
      <c r="B28" s="1"/>
      <c r="C28" s="1"/>
      <c r="D28" s="1"/>
      <c r="E28" s="1"/>
      <c r="F28" s="1"/>
      <c r="G28" s="1"/>
      <c r="H28" s="1"/>
      <c r="I28" s="1">
        <v>828.32</v>
      </c>
      <c r="J28" s="1"/>
      <c r="K28" s="1"/>
      <c r="L28" s="1"/>
      <c r="M28" s="1"/>
      <c r="N28" s="1"/>
      <c r="O28" s="1"/>
      <c r="P28" s="1">
        <v>828.32</v>
      </c>
    </row>
    <row r="29" spans="1:16" ht="12.75">
      <c r="A29" s="3" t="s">
        <v>300</v>
      </c>
      <c r="B29" s="1"/>
      <c r="C29" s="1"/>
      <c r="D29" s="1"/>
      <c r="E29" s="1"/>
      <c r="F29" s="1">
        <v>38</v>
      </c>
      <c r="G29" s="1"/>
      <c r="H29" s="1"/>
      <c r="I29" s="1"/>
      <c r="J29" s="1"/>
      <c r="K29" s="1"/>
      <c r="L29" s="1"/>
      <c r="M29" s="1"/>
      <c r="N29" s="1"/>
      <c r="O29" s="1"/>
      <c r="P29" s="1">
        <f t="shared" si="0"/>
        <v>38</v>
      </c>
    </row>
    <row r="30" spans="1:16" ht="12.75">
      <c r="A30" s="1" t="s">
        <v>581</v>
      </c>
      <c r="B30" s="1"/>
      <c r="C30" s="1"/>
      <c r="D30" s="1"/>
      <c r="E30" s="1"/>
      <c r="F30" s="1">
        <v>544.16</v>
      </c>
      <c r="G30" s="1"/>
      <c r="H30" s="1"/>
      <c r="I30" s="1"/>
      <c r="J30" s="1"/>
      <c r="K30" s="1"/>
      <c r="L30" s="1"/>
      <c r="M30" s="1"/>
      <c r="N30" s="1"/>
      <c r="O30" s="1"/>
      <c r="P30" s="1">
        <f t="shared" si="0"/>
        <v>544.16</v>
      </c>
    </row>
    <row r="31" spans="1:16" ht="12.75">
      <c r="A31" s="3" t="s">
        <v>582</v>
      </c>
      <c r="B31" s="1"/>
      <c r="C31" s="1"/>
      <c r="D31" s="1"/>
      <c r="E31" s="1"/>
      <c r="F31" s="1">
        <v>828.32</v>
      </c>
      <c r="G31" s="1"/>
      <c r="H31" s="1"/>
      <c r="I31" s="1"/>
      <c r="J31" s="1"/>
      <c r="K31" s="1"/>
      <c r="L31" s="1"/>
      <c r="M31" s="1"/>
      <c r="N31" s="1"/>
      <c r="O31" s="1"/>
      <c r="P31" s="1">
        <f t="shared" si="0"/>
        <v>828.32</v>
      </c>
    </row>
    <row r="32" spans="1:16" ht="12.75">
      <c r="A32" s="3" t="s">
        <v>528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>
        <f t="shared" si="0"/>
        <v>0</v>
      </c>
    </row>
    <row r="33" spans="1:16" ht="12.75">
      <c r="A33" s="1" t="s">
        <v>415</v>
      </c>
      <c r="B33" s="1"/>
      <c r="C33" s="1">
        <f aca="true" t="shared" si="1" ref="C33:J33">SUM(C4:C31)</f>
        <v>0</v>
      </c>
      <c r="D33" s="1">
        <f t="shared" si="1"/>
        <v>0</v>
      </c>
      <c r="E33" s="1">
        <f t="shared" si="1"/>
        <v>0</v>
      </c>
      <c r="F33" s="1">
        <f t="shared" si="1"/>
        <v>18894.98</v>
      </c>
      <c r="G33" s="1">
        <f t="shared" si="1"/>
        <v>38514.02</v>
      </c>
      <c r="H33" s="1">
        <f t="shared" si="1"/>
        <v>27383.89</v>
      </c>
      <c r="I33" s="1">
        <f t="shared" si="1"/>
        <v>17035.37</v>
      </c>
      <c r="J33" s="1">
        <f t="shared" si="1"/>
        <v>17324.37</v>
      </c>
      <c r="K33" s="1">
        <f>SUM(K4:K32)</f>
        <v>0</v>
      </c>
      <c r="L33" s="1">
        <f>SUM(L4:L31)</f>
        <v>0</v>
      </c>
      <c r="M33" s="1">
        <f>SUM(M4:M31)</f>
        <v>0</v>
      </c>
      <c r="N33" s="1">
        <f>SUM(N4:N31)</f>
        <v>0</v>
      </c>
      <c r="O33" s="1">
        <f>SUM(O4:O31)</f>
        <v>0</v>
      </c>
      <c r="P33" s="1">
        <f>SUM(P4:P32)</f>
        <v>119152.63000000003</v>
      </c>
    </row>
    <row r="34" spans="1:16" s="26" customFormat="1" ht="12.75">
      <c r="A34" s="1" t="s">
        <v>419</v>
      </c>
      <c r="B34" s="1"/>
      <c r="C34" s="1"/>
      <c r="D34" s="1"/>
      <c r="E34" s="1"/>
      <c r="F34" s="1">
        <v>2094.3</v>
      </c>
      <c r="G34" s="1">
        <v>23908.44</v>
      </c>
      <c r="H34" s="1">
        <v>25460.47</v>
      </c>
      <c r="I34" s="1">
        <v>21753.63</v>
      </c>
      <c r="J34" s="1">
        <v>26254.66</v>
      </c>
      <c r="K34" s="1"/>
      <c r="L34" s="1"/>
      <c r="M34" s="1"/>
      <c r="N34" s="1"/>
      <c r="O34" s="1"/>
      <c r="P34" s="1">
        <f>SUM(C34:O34)</f>
        <v>99471.5</v>
      </c>
    </row>
    <row r="35" spans="1:16" s="26" customFormat="1" ht="12.75">
      <c r="A35" s="1" t="s">
        <v>403</v>
      </c>
      <c r="B35" s="62"/>
      <c r="C35" s="63"/>
      <c r="D35" s="63"/>
      <c r="E35" s="63"/>
      <c r="F35" s="64"/>
      <c r="G35" s="1"/>
      <c r="H35" s="1">
        <v>0</v>
      </c>
      <c r="I35" s="1"/>
      <c r="J35" s="1">
        <v>2773.4</v>
      </c>
      <c r="K35" s="1"/>
      <c r="L35" s="1"/>
      <c r="M35" s="1"/>
      <c r="N35" s="1"/>
      <c r="O35" s="1"/>
      <c r="P35" s="1">
        <f>SUM(H35:O35)</f>
        <v>2773.4</v>
      </c>
    </row>
    <row r="36" spans="1:16" s="12" customFormat="1" ht="12.75">
      <c r="A36" s="2" t="s">
        <v>420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>
        <f>P34+P35+P37+P38-P33</f>
        <v>-9961.23000000004</v>
      </c>
    </row>
    <row r="37" spans="1:16" s="12" customFormat="1" ht="12.75">
      <c r="A37" s="2" t="s">
        <v>603</v>
      </c>
      <c r="B37" s="2"/>
      <c r="C37" s="2"/>
      <c r="D37" s="2"/>
      <c r="E37" s="2"/>
      <c r="F37" s="2">
        <v>378</v>
      </c>
      <c r="G37" s="2"/>
      <c r="H37" s="2">
        <v>400</v>
      </c>
      <c r="I37" s="2"/>
      <c r="J37" s="2">
        <v>240</v>
      </c>
      <c r="K37" s="2"/>
      <c r="L37" s="2"/>
      <c r="M37" s="2"/>
      <c r="N37" s="2"/>
      <c r="O37" s="2"/>
      <c r="P37" s="2">
        <f>SUM(F37:O37)</f>
        <v>1018</v>
      </c>
    </row>
    <row r="38" spans="1:16" ht="12.75">
      <c r="A38" s="1" t="s">
        <v>527</v>
      </c>
      <c r="B38" s="1"/>
      <c r="C38" s="1"/>
      <c r="D38" s="1"/>
      <c r="E38" s="1"/>
      <c r="F38" s="1">
        <v>3675</v>
      </c>
      <c r="G38" s="1">
        <v>1513.5</v>
      </c>
      <c r="H38" s="1">
        <v>600</v>
      </c>
      <c r="I38" s="1"/>
      <c r="J38" s="1">
        <v>140</v>
      </c>
      <c r="K38" s="1"/>
      <c r="L38" s="1"/>
      <c r="M38" s="1"/>
      <c r="N38" s="1"/>
      <c r="O38" s="1"/>
      <c r="P38" s="1">
        <f>SUM(F38:O38)</f>
        <v>5928.5</v>
      </c>
    </row>
    <row r="39" spans="1:16" ht="12.75">
      <c r="A39" s="1"/>
      <c r="B39" s="62" t="s">
        <v>481</v>
      </c>
      <c r="C39" s="63"/>
      <c r="D39" s="63"/>
      <c r="E39" s="63"/>
      <c r="F39" s="64"/>
      <c r="G39" s="1"/>
      <c r="H39" s="1"/>
      <c r="I39" s="1" t="s">
        <v>428</v>
      </c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3" ht="12.75">
      <c r="G43" s="14" t="s">
        <v>428</v>
      </c>
    </row>
  </sheetData>
  <mergeCells count="2">
    <mergeCell ref="B35:F35"/>
    <mergeCell ref="B39:F39"/>
  </mergeCells>
  <printOptions/>
  <pageMargins left="0.75" right="0.75" top="1" bottom="1" header="0.5" footer="0.5"/>
  <pageSetup orientation="landscape" paperSize="9" scale="78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K32" sqref="K32"/>
    </sheetView>
  </sheetViews>
  <sheetFormatPr defaultColWidth="9.00390625" defaultRowHeight="12.75"/>
  <cols>
    <col min="1" max="1" width="34.375" style="14" customWidth="1"/>
    <col min="2" max="2" width="11.375" style="14" customWidth="1"/>
    <col min="3" max="3" width="7.25390625" style="14" customWidth="1"/>
    <col min="4" max="16384" width="9.125" style="14" customWidth="1"/>
  </cols>
  <sheetData>
    <row r="1" spans="1:15" s="12" customFormat="1" ht="12.75">
      <c r="A1" s="2" t="s">
        <v>422</v>
      </c>
      <c r="B1" s="2">
        <v>624</v>
      </c>
      <c r="C1" s="2" t="s">
        <v>46</v>
      </c>
      <c r="D1" s="2"/>
      <c r="E1" s="2" t="s">
        <v>80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1" t="s">
        <v>421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12" customFormat="1" ht="12.75">
      <c r="A3" s="2" t="s">
        <v>409</v>
      </c>
      <c r="B3" s="2" t="s">
        <v>410</v>
      </c>
      <c r="C3" s="2" t="s">
        <v>434</v>
      </c>
      <c r="D3" s="2" t="s">
        <v>438</v>
      </c>
      <c r="E3" s="2" t="s">
        <v>437</v>
      </c>
      <c r="F3" s="2" t="s">
        <v>436</v>
      </c>
      <c r="G3" s="2" t="s">
        <v>453</v>
      </c>
      <c r="H3" s="2" t="s">
        <v>414</v>
      </c>
      <c r="I3" s="2" t="s">
        <v>416</v>
      </c>
      <c r="J3" s="2" t="s">
        <v>417</v>
      </c>
      <c r="K3" s="2" t="s">
        <v>423</v>
      </c>
      <c r="L3" s="2" t="s">
        <v>424</v>
      </c>
      <c r="M3" s="2" t="s">
        <v>425</v>
      </c>
      <c r="N3" s="2" t="s">
        <v>426</v>
      </c>
      <c r="O3" s="2" t="s">
        <v>427</v>
      </c>
    </row>
    <row r="4" spans="1:15" ht="12.75">
      <c r="A4" s="1" t="s">
        <v>411</v>
      </c>
      <c r="B4" s="1">
        <v>1.57</v>
      </c>
      <c r="C4" s="1"/>
      <c r="D4" s="1"/>
      <c r="E4" s="1"/>
      <c r="F4" s="1"/>
      <c r="G4" s="1"/>
      <c r="H4" s="1"/>
      <c r="I4" s="1">
        <f>B4*B1</f>
        <v>979.6800000000001</v>
      </c>
      <c r="J4" s="1">
        <v>979.68</v>
      </c>
      <c r="K4" s="1"/>
      <c r="L4" s="1"/>
      <c r="M4" s="1"/>
      <c r="N4" s="1"/>
      <c r="O4" s="1">
        <f>SUM(I4:N4)</f>
        <v>1959.3600000000001</v>
      </c>
    </row>
    <row r="5" spans="1:15" ht="12.75">
      <c r="A5" s="1" t="s">
        <v>451</v>
      </c>
      <c r="B5" s="1">
        <v>1.6</v>
      </c>
      <c r="C5" s="1"/>
      <c r="D5" s="1"/>
      <c r="E5" s="1"/>
      <c r="F5" s="1"/>
      <c r="G5" s="1"/>
      <c r="H5" s="1"/>
      <c r="I5" s="1">
        <f>B5*B1</f>
        <v>998.4000000000001</v>
      </c>
      <c r="J5" s="1">
        <v>998</v>
      </c>
      <c r="K5" s="1"/>
      <c r="L5" s="1"/>
      <c r="M5" s="1"/>
      <c r="N5" s="1"/>
      <c r="O5" s="1">
        <f>SUM(I5:N5)</f>
        <v>1996.4</v>
      </c>
    </row>
    <row r="6" spans="1:15" ht="12.75">
      <c r="A6" s="1" t="s">
        <v>412</v>
      </c>
      <c r="B6" s="1">
        <v>1.6</v>
      </c>
      <c r="C6" s="1"/>
      <c r="D6" s="1"/>
      <c r="E6" s="1"/>
      <c r="F6" s="1"/>
      <c r="G6" s="1"/>
      <c r="H6" s="1"/>
      <c r="I6" s="1">
        <v>998.4</v>
      </c>
      <c r="J6" s="1">
        <v>998.4</v>
      </c>
      <c r="K6" s="1"/>
      <c r="L6" s="1"/>
      <c r="M6" s="1"/>
      <c r="N6" s="1"/>
      <c r="O6" s="1">
        <f>SUM(I6:N6)</f>
        <v>1996.8</v>
      </c>
    </row>
    <row r="7" spans="1:15" ht="12.75">
      <c r="A7" s="1" t="s">
        <v>491</v>
      </c>
      <c r="B7" s="1">
        <v>0.44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>
        <f>SUM(I7:N7)</f>
        <v>0</v>
      </c>
    </row>
    <row r="8" spans="1:15" ht="12.75">
      <c r="A8" s="3" t="s">
        <v>429</v>
      </c>
      <c r="B8" s="1"/>
      <c r="C8" s="1"/>
      <c r="D8" s="1"/>
      <c r="E8" s="1"/>
      <c r="F8" s="1"/>
      <c r="G8" s="1"/>
      <c r="H8" s="1"/>
      <c r="I8" s="1">
        <v>90.48</v>
      </c>
      <c r="J8" s="1">
        <v>90.48</v>
      </c>
      <c r="K8" s="1"/>
      <c r="L8" s="1"/>
      <c r="M8" s="1"/>
      <c r="N8" s="1"/>
      <c r="O8" s="1">
        <f>SUM(C8:N8)</f>
        <v>180.96</v>
      </c>
    </row>
    <row r="9" spans="1:15" ht="12.75">
      <c r="A9" s="3" t="s">
        <v>278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>
        <f>SUM(C9:N9)</f>
        <v>0</v>
      </c>
    </row>
    <row r="10" spans="1:15" ht="12.75">
      <c r="A10" s="3" t="s">
        <v>478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>
        <f>SUM(C10:N10)</f>
        <v>0</v>
      </c>
    </row>
    <row r="11" spans="1:15" ht="22.5">
      <c r="A11" s="3" t="s">
        <v>608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>
        <f>SUM(I11:N11)</f>
        <v>0</v>
      </c>
    </row>
    <row r="12" spans="1:15" ht="12.75">
      <c r="A12" s="3" t="s">
        <v>435</v>
      </c>
      <c r="B12" s="1">
        <v>0.66</v>
      </c>
      <c r="C12" s="1"/>
      <c r="D12" s="1"/>
      <c r="E12" s="1"/>
      <c r="F12" s="1"/>
      <c r="G12" s="1"/>
      <c r="H12" s="1"/>
      <c r="I12" s="1">
        <f>B12*B1</f>
        <v>411.84000000000003</v>
      </c>
      <c r="J12" s="1">
        <v>411.84</v>
      </c>
      <c r="K12" s="1"/>
      <c r="L12" s="1"/>
      <c r="M12" s="1"/>
      <c r="N12" s="1"/>
      <c r="O12" s="1">
        <f>SUM(I12:N12)</f>
        <v>823.6800000000001</v>
      </c>
    </row>
    <row r="13" spans="1:15" ht="22.5">
      <c r="A13" s="3" t="s">
        <v>498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>
        <f aca="true" t="shared" si="0" ref="O13:O26">SUM(C13:I13)</f>
        <v>0</v>
      </c>
    </row>
    <row r="14" spans="1:15" ht="12.75">
      <c r="A14" s="3" t="s">
        <v>86</v>
      </c>
      <c r="B14" s="1"/>
      <c r="C14" s="1"/>
      <c r="D14" s="1"/>
      <c r="E14" s="1"/>
      <c r="F14" s="1"/>
      <c r="G14" s="1"/>
      <c r="H14" s="1"/>
      <c r="I14" s="1">
        <v>16840</v>
      </c>
      <c r="J14" s="1"/>
      <c r="K14" s="1"/>
      <c r="L14" s="1"/>
      <c r="M14" s="1"/>
      <c r="N14" s="1"/>
      <c r="O14" s="1">
        <v>16840</v>
      </c>
    </row>
    <row r="15" spans="1:15" ht="22.5">
      <c r="A15" s="3" t="s">
        <v>496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>
        <f t="shared" si="0"/>
        <v>0</v>
      </c>
    </row>
    <row r="16" spans="1:15" ht="12.75">
      <c r="A16" s="3" t="s">
        <v>490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>
        <f t="shared" si="0"/>
        <v>0</v>
      </c>
    </row>
    <row r="17" spans="1:15" ht="12.75">
      <c r="A17" s="3" t="s">
        <v>230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>
        <f t="shared" si="0"/>
        <v>0</v>
      </c>
    </row>
    <row r="18" spans="1:15" ht="12.75">
      <c r="A18" s="3" t="s">
        <v>509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>
        <f t="shared" si="0"/>
        <v>0</v>
      </c>
    </row>
    <row r="19" spans="1:15" ht="12.75">
      <c r="A19" s="3" t="s">
        <v>231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>
        <f t="shared" si="0"/>
        <v>0</v>
      </c>
    </row>
    <row r="20" spans="1:15" ht="12.75">
      <c r="A20" s="3" t="s">
        <v>511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</row>
    <row r="21" spans="1:15" ht="12.75">
      <c r="A21" s="3" t="s">
        <v>499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>
        <f t="shared" si="0"/>
        <v>0</v>
      </c>
    </row>
    <row r="22" spans="1:15" ht="22.5">
      <c r="A22" s="3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>
        <f>SUM(I22:N22)</f>
        <v>0</v>
      </c>
    </row>
    <row r="23" spans="1:15" ht="12.75">
      <c r="A23" s="3" t="s">
        <v>23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>
        <f>SUM(I23:N23)</f>
        <v>0</v>
      </c>
    </row>
    <row r="24" spans="1:15" ht="12.75">
      <c r="A24" s="3" t="s">
        <v>497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f>SUM(C24:N24)</f>
        <v>0</v>
      </c>
    </row>
    <row r="25" spans="1:15" ht="12.75">
      <c r="A25" s="3" t="s">
        <v>700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3" t="s">
        <v>528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</row>
    <row r="27" spans="1:15" ht="12.75">
      <c r="A27" s="1" t="s">
        <v>415</v>
      </c>
      <c r="B27" s="1"/>
      <c r="C27" s="1">
        <f aca="true" t="shared" si="1" ref="C27:N27">SUM(C4:C26)</f>
        <v>0</v>
      </c>
      <c r="D27" s="1">
        <f t="shared" si="1"/>
        <v>0</v>
      </c>
      <c r="E27" s="1">
        <f t="shared" si="1"/>
        <v>0</v>
      </c>
      <c r="F27" s="1">
        <f t="shared" si="1"/>
        <v>0</v>
      </c>
      <c r="G27" s="1">
        <f t="shared" si="1"/>
        <v>0</v>
      </c>
      <c r="H27" s="1">
        <f t="shared" si="1"/>
        <v>0</v>
      </c>
      <c r="I27" s="1">
        <f t="shared" si="1"/>
        <v>20318.8</v>
      </c>
      <c r="J27" s="1">
        <f t="shared" si="1"/>
        <v>3478.4</v>
      </c>
      <c r="K27" s="1">
        <f t="shared" si="1"/>
        <v>0</v>
      </c>
      <c r="L27" s="1">
        <f t="shared" si="1"/>
        <v>0</v>
      </c>
      <c r="M27" s="1">
        <f t="shared" si="1"/>
        <v>0</v>
      </c>
      <c r="N27" s="1">
        <f t="shared" si="1"/>
        <v>0</v>
      </c>
      <c r="O27" s="1">
        <f>SUM(C27:N27)</f>
        <v>23797.2</v>
      </c>
    </row>
    <row r="28" spans="1:15" ht="12.75">
      <c r="A28" s="1" t="s">
        <v>419</v>
      </c>
      <c r="B28" s="1"/>
      <c r="C28" s="1"/>
      <c r="D28" s="1"/>
      <c r="E28" s="1"/>
      <c r="F28" s="1"/>
      <c r="G28" s="1"/>
      <c r="H28" s="1"/>
      <c r="I28" s="1">
        <v>819</v>
      </c>
      <c r="J28" s="1">
        <v>6242.61</v>
      </c>
      <c r="K28" s="1"/>
      <c r="L28" s="1"/>
      <c r="M28" s="1"/>
      <c r="N28" s="1"/>
      <c r="O28" s="1">
        <f>SUM(D28:N28)</f>
        <v>7061.61</v>
      </c>
    </row>
    <row r="29" spans="1:15" s="12" customFormat="1" ht="12.75">
      <c r="A29" s="2" t="s">
        <v>420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>
        <f>O28+O31+O32-O27</f>
        <v>-16355.59</v>
      </c>
    </row>
    <row r="30" spans="1:15" s="12" customFormat="1" ht="12.75">
      <c r="A30" s="1" t="s">
        <v>403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"/>
      <c r="O30" s="2">
        <f>SUM(H30:N30)</f>
        <v>0</v>
      </c>
    </row>
    <row r="31" spans="1:15" s="12" customFormat="1" ht="12.75">
      <c r="A31" s="1" t="s">
        <v>603</v>
      </c>
      <c r="B31" s="2"/>
      <c r="C31" s="2"/>
      <c r="D31" s="2"/>
      <c r="E31" s="2"/>
      <c r="F31" s="2"/>
      <c r="G31" s="2"/>
      <c r="H31" s="2"/>
      <c r="I31" s="2"/>
      <c r="J31" s="2">
        <v>240</v>
      </c>
      <c r="K31" s="2"/>
      <c r="L31" s="2"/>
      <c r="M31" s="2"/>
      <c r="N31" s="1"/>
      <c r="O31" s="2">
        <f>SUM(J31:N31)</f>
        <v>240</v>
      </c>
    </row>
    <row r="32" spans="1:15" ht="12.75">
      <c r="A32" s="1" t="s">
        <v>527</v>
      </c>
      <c r="B32" s="1"/>
      <c r="C32" s="1"/>
      <c r="D32" s="1"/>
      <c r="E32" s="1"/>
      <c r="F32" s="1"/>
      <c r="G32" s="1"/>
      <c r="H32" s="1"/>
      <c r="I32" s="1"/>
      <c r="J32" s="1">
        <v>140</v>
      </c>
      <c r="K32" s="1"/>
      <c r="L32" s="1"/>
      <c r="M32" s="1"/>
      <c r="N32" s="1"/>
      <c r="O32" s="1">
        <f>SUM(F32:N32)</f>
        <v>140</v>
      </c>
    </row>
    <row r="33" spans="1:15" ht="12.75">
      <c r="A33" s="1"/>
      <c r="B33" s="62" t="s">
        <v>477</v>
      </c>
      <c r="C33" s="63"/>
      <c r="D33" s="63"/>
      <c r="E33" s="63"/>
      <c r="F33" s="64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</sheetData>
  <mergeCells count="1">
    <mergeCell ref="B33:F33"/>
  </mergeCells>
  <printOptions/>
  <pageMargins left="0.75" right="0.75" top="1" bottom="1" header="0.5" footer="0.5"/>
  <pageSetup orientation="landscape" paperSize="9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L35" sqref="L35"/>
    </sheetView>
  </sheetViews>
  <sheetFormatPr defaultColWidth="9.00390625" defaultRowHeight="12.75"/>
  <cols>
    <col min="1" max="1" width="34.375" style="14" customWidth="1"/>
    <col min="2" max="2" width="11.375" style="14" customWidth="1"/>
    <col min="3" max="3" width="7.25390625" style="14" customWidth="1"/>
    <col min="4" max="16384" width="9.125" style="14" customWidth="1"/>
  </cols>
  <sheetData>
    <row r="1" spans="1:15" s="12" customFormat="1" ht="12.75">
      <c r="A1" s="2" t="s">
        <v>422</v>
      </c>
      <c r="B1" s="2">
        <v>1357.9</v>
      </c>
      <c r="C1" s="2" t="s">
        <v>46</v>
      </c>
      <c r="D1" s="2"/>
      <c r="E1" s="2" t="s">
        <v>45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1" t="s">
        <v>421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12" customFormat="1" ht="12.75">
      <c r="A3" s="2" t="s">
        <v>409</v>
      </c>
      <c r="B3" s="2" t="s">
        <v>410</v>
      </c>
      <c r="C3" s="2" t="s">
        <v>434</v>
      </c>
      <c r="D3" s="2" t="s">
        <v>438</v>
      </c>
      <c r="E3" s="2" t="s">
        <v>437</v>
      </c>
      <c r="F3" s="2" t="s">
        <v>436</v>
      </c>
      <c r="G3" s="2" t="s">
        <v>453</v>
      </c>
      <c r="H3" s="2" t="s">
        <v>414</v>
      </c>
      <c r="I3" s="2" t="s">
        <v>416</v>
      </c>
      <c r="J3" s="2" t="s">
        <v>417</v>
      </c>
      <c r="K3" s="2" t="s">
        <v>423</v>
      </c>
      <c r="L3" s="2" t="s">
        <v>424</v>
      </c>
      <c r="M3" s="2" t="s">
        <v>425</v>
      </c>
      <c r="N3" s="2" t="s">
        <v>426</v>
      </c>
      <c r="O3" s="2" t="s">
        <v>427</v>
      </c>
    </row>
    <row r="4" spans="1:15" ht="12.75">
      <c r="A4" s="1" t="s">
        <v>411</v>
      </c>
      <c r="B4" s="1">
        <v>1.57</v>
      </c>
      <c r="C4" s="1"/>
      <c r="D4" s="1"/>
      <c r="E4" s="1"/>
      <c r="F4" s="1"/>
      <c r="G4" s="1"/>
      <c r="H4" s="1"/>
      <c r="I4" s="1">
        <v>2131.9</v>
      </c>
      <c r="J4" s="1">
        <v>2131.9</v>
      </c>
      <c r="K4" s="1"/>
      <c r="L4" s="1"/>
      <c r="M4" s="1"/>
      <c r="N4" s="1"/>
      <c r="O4" s="1">
        <f>SUM(I4:N4)</f>
        <v>4263.8</v>
      </c>
    </row>
    <row r="5" spans="1:15" ht="12.75">
      <c r="A5" s="1" t="s">
        <v>451</v>
      </c>
      <c r="B5" s="1">
        <v>1.6</v>
      </c>
      <c r="C5" s="1"/>
      <c r="D5" s="1"/>
      <c r="E5" s="1"/>
      <c r="F5" s="1"/>
      <c r="G5" s="1"/>
      <c r="H5" s="1"/>
      <c r="I5" s="1">
        <v>2172.64</v>
      </c>
      <c r="J5" s="1">
        <v>2172.64</v>
      </c>
      <c r="K5" s="1"/>
      <c r="L5" s="1"/>
      <c r="M5" s="1"/>
      <c r="N5" s="1"/>
      <c r="O5" s="1">
        <f>SUM(I5:N5)</f>
        <v>4345.28</v>
      </c>
    </row>
    <row r="6" spans="1:15" ht="12.75">
      <c r="A6" s="1" t="s">
        <v>412</v>
      </c>
      <c r="B6" s="1">
        <v>1.6</v>
      </c>
      <c r="C6" s="1"/>
      <c r="D6" s="1"/>
      <c r="E6" s="1"/>
      <c r="F6" s="1"/>
      <c r="G6" s="1"/>
      <c r="H6" s="1"/>
      <c r="I6" s="1">
        <v>2172.64</v>
      </c>
      <c r="J6" s="1">
        <v>2172.64</v>
      </c>
      <c r="K6" s="1"/>
      <c r="L6" s="1"/>
      <c r="M6" s="1"/>
      <c r="N6" s="1"/>
      <c r="O6" s="1">
        <f>SUM(I6:N6)</f>
        <v>4345.28</v>
      </c>
    </row>
    <row r="7" spans="1:15" ht="12.75">
      <c r="A7" s="1" t="s">
        <v>491</v>
      </c>
      <c r="B7" s="1">
        <v>0.44</v>
      </c>
      <c r="C7" s="1"/>
      <c r="D7" s="1"/>
      <c r="E7" s="1"/>
      <c r="F7" s="1"/>
      <c r="G7" s="1"/>
      <c r="H7" s="1"/>
      <c r="I7" s="1">
        <v>1993.31</v>
      </c>
      <c r="J7" s="1">
        <v>1993.31</v>
      </c>
      <c r="K7" s="1"/>
      <c r="L7" s="1"/>
      <c r="M7" s="1"/>
      <c r="N7" s="1"/>
      <c r="O7" s="1">
        <f>SUM(I7:N7)</f>
        <v>3986.62</v>
      </c>
    </row>
    <row r="8" spans="1:15" ht="12.75">
      <c r="A8" s="3" t="s">
        <v>429</v>
      </c>
      <c r="B8" s="1"/>
      <c r="C8" s="1"/>
      <c r="D8" s="1"/>
      <c r="E8" s="1"/>
      <c r="F8" s="1"/>
      <c r="G8" s="1"/>
      <c r="H8" s="1"/>
      <c r="I8" s="1">
        <v>196.9</v>
      </c>
      <c r="J8" s="1">
        <v>196.9</v>
      </c>
      <c r="K8" s="1"/>
      <c r="L8" s="1"/>
      <c r="M8" s="1"/>
      <c r="N8" s="1"/>
      <c r="O8" s="1">
        <f>SUM(C8:N8)</f>
        <v>393.8</v>
      </c>
    </row>
    <row r="9" spans="1:15" ht="12.75">
      <c r="A9" s="3" t="s">
        <v>278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>
        <f>SUM(C9:N9)</f>
        <v>0</v>
      </c>
    </row>
    <row r="10" spans="1:15" ht="12.75">
      <c r="A10" s="3" t="s">
        <v>478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>
        <f>SUM(C10:N10)</f>
        <v>0</v>
      </c>
    </row>
    <row r="11" spans="1:15" ht="22.5">
      <c r="A11" s="3" t="s">
        <v>608</v>
      </c>
      <c r="B11" s="1"/>
      <c r="C11" s="1"/>
      <c r="D11" s="1"/>
      <c r="E11" s="1"/>
      <c r="F11" s="1"/>
      <c r="G11" s="1"/>
      <c r="H11" s="1"/>
      <c r="I11" s="1">
        <v>1358</v>
      </c>
      <c r="J11" s="1">
        <v>1358</v>
      </c>
      <c r="K11" s="1"/>
      <c r="L11" s="1"/>
      <c r="M11" s="1"/>
      <c r="N11" s="1"/>
      <c r="O11" s="1">
        <f>SUM(I11:N11)</f>
        <v>2716</v>
      </c>
    </row>
    <row r="12" spans="1:15" ht="12.75">
      <c r="A12" s="3" t="s">
        <v>435</v>
      </c>
      <c r="B12" s="1">
        <v>0.66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>
        <f>SUM(C12:I12)</f>
        <v>0</v>
      </c>
    </row>
    <row r="13" spans="1:15" ht="22.5">
      <c r="A13" s="3" t="s">
        <v>498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>
        <f aca="true" t="shared" si="0" ref="O13:O26">SUM(C13:I13)</f>
        <v>0</v>
      </c>
    </row>
    <row r="14" spans="1:15" ht="22.5">
      <c r="A14" s="3" t="s">
        <v>496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>
        <f t="shared" si="0"/>
        <v>0</v>
      </c>
    </row>
    <row r="15" spans="1:15" ht="12.75">
      <c r="A15" s="3" t="s">
        <v>490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>
        <f t="shared" si="0"/>
        <v>0</v>
      </c>
    </row>
    <row r="16" spans="1:15" ht="12.75">
      <c r="A16" s="3" t="s">
        <v>230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>
        <f t="shared" si="0"/>
        <v>0</v>
      </c>
    </row>
    <row r="17" spans="1:15" ht="12.75">
      <c r="A17" s="3" t="s">
        <v>509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>
        <f t="shared" si="0"/>
        <v>0</v>
      </c>
    </row>
    <row r="18" spans="1:15" ht="12.75">
      <c r="A18" s="3" t="s">
        <v>231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>
        <f t="shared" si="0"/>
        <v>0</v>
      </c>
    </row>
    <row r="19" spans="1:15" ht="12.75">
      <c r="A19" s="3" t="s">
        <v>511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>
        <f t="shared" si="0"/>
        <v>0</v>
      </c>
    </row>
    <row r="20" spans="1:15" ht="12.75">
      <c r="A20" s="3" t="s">
        <v>499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</row>
    <row r="21" spans="1:15" ht="22.5">
      <c r="A21" s="3" t="s">
        <v>34</v>
      </c>
      <c r="B21" s="1"/>
      <c r="C21" s="1"/>
      <c r="D21" s="1"/>
      <c r="E21" s="1"/>
      <c r="F21" s="1"/>
      <c r="G21" s="1"/>
      <c r="H21" s="1"/>
      <c r="I21" s="1"/>
      <c r="J21" s="1">
        <v>1740.64</v>
      </c>
      <c r="K21" s="1"/>
      <c r="L21" s="1"/>
      <c r="M21" s="1"/>
      <c r="N21" s="1"/>
      <c r="O21" s="1">
        <f>SUM(I21:N21)</f>
        <v>1740.64</v>
      </c>
    </row>
    <row r="22" spans="1:15" ht="12.75">
      <c r="A22" s="3" t="s">
        <v>23</v>
      </c>
      <c r="B22" s="1"/>
      <c r="C22" s="1"/>
      <c r="D22" s="1"/>
      <c r="E22" s="1"/>
      <c r="F22" s="1"/>
      <c r="G22" s="1"/>
      <c r="H22" s="1"/>
      <c r="I22" s="1"/>
      <c r="J22" s="1">
        <v>2179.64</v>
      </c>
      <c r="K22" s="1"/>
      <c r="L22" s="1"/>
      <c r="M22" s="1"/>
      <c r="N22" s="1"/>
      <c r="O22" s="1">
        <f>SUM(I22:N22)</f>
        <v>2179.64</v>
      </c>
    </row>
    <row r="23" spans="1:15" ht="12.75">
      <c r="A23" s="3" t="s">
        <v>497</v>
      </c>
      <c r="B23" s="1"/>
      <c r="C23" s="1"/>
      <c r="D23" s="1"/>
      <c r="E23" s="1"/>
      <c r="F23" s="1"/>
      <c r="G23" s="1"/>
      <c r="H23" s="1"/>
      <c r="I23" s="1"/>
      <c r="J23" s="1">
        <v>19546</v>
      </c>
      <c r="K23" s="1"/>
      <c r="L23" s="1"/>
      <c r="M23" s="1"/>
      <c r="N23" s="1"/>
      <c r="O23" s="1">
        <f>SUM(C23:N23)</f>
        <v>19546</v>
      </c>
    </row>
    <row r="24" spans="1:15" ht="12.75">
      <c r="A24" s="3" t="s">
        <v>82</v>
      </c>
      <c r="B24" s="1"/>
      <c r="C24" s="1"/>
      <c r="D24" s="1"/>
      <c r="E24" s="1"/>
      <c r="F24" s="1"/>
      <c r="G24" s="1"/>
      <c r="H24" s="1"/>
      <c r="I24" s="1"/>
      <c r="J24" s="1">
        <v>28000</v>
      </c>
      <c r="K24" s="1"/>
      <c r="L24" s="1"/>
      <c r="M24" s="1"/>
      <c r="N24" s="1"/>
      <c r="O24" s="1">
        <v>28000</v>
      </c>
    </row>
    <row r="25" spans="1:15" ht="22.5">
      <c r="A25" s="3" t="s">
        <v>88</v>
      </c>
      <c r="B25" s="1"/>
      <c r="C25" s="1"/>
      <c r="D25" s="1"/>
      <c r="E25" s="1"/>
      <c r="F25" s="1"/>
      <c r="G25" s="1"/>
      <c r="H25" s="1"/>
      <c r="I25" s="1"/>
      <c r="J25" s="1">
        <v>4000</v>
      </c>
      <c r="K25" s="1"/>
      <c r="L25" s="1"/>
      <c r="M25" s="1"/>
      <c r="N25" s="1"/>
      <c r="O25" s="1">
        <v>4000</v>
      </c>
    </row>
    <row r="26" spans="1:15" ht="12.75">
      <c r="A26" s="3" t="s">
        <v>528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</row>
    <row r="27" spans="1:15" ht="12.75">
      <c r="A27" s="1" t="s">
        <v>415</v>
      </c>
      <c r="B27" s="1"/>
      <c r="C27" s="1">
        <f aca="true" t="shared" si="1" ref="C27:N27">SUM(C4:C26)</f>
        <v>0</v>
      </c>
      <c r="D27" s="1">
        <f t="shared" si="1"/>
        <v>0</v>
      </c>
      <c r="E27" s="1">
        <f t="shared" si="1"/>
        <v>0</v>
      </c>
      <c r="F27" s="1">
        <f t="shared" si="1"/>
        <v>0</v>
      </c>
      <c r="G27" s="1">
        <f t="shared" si="1"/>
        <v>0</v>
      </c>
      <c r="H27" s="1">
        <f t="shared" si="1"/>
        <v>0</v>
      </c>
      <c r="I27" s="1">
        <f t="shared" si="1"/>
        <v>10025.39</v>
      </c>
      <c r="J27" s="1">
        <f t="shared" si="1"/>
        <v>65491.67</v>
      </c>
      <c r="K27" s="1">
        <f t="shared" si="1"/>
        <v>0</v>
      </c>
      <c r="L27" s="1">
        <f t="shared" si="1"/>
        <v>0</v>
      </c>
      <c r="M27" s="1">
        <f t="shared" si="1"/>
        <v>0</v>
      </c>
      <c r="N27" s="1">
        <f t="shared" si="1"/>
        <v>0</v>
      </c>
      <c r="O27" s="1">
        <f>SUM(C27:N27)</f>
        <v>75517.06</v>
      </c>
    </row>
    <row r="28" spans="1:15" ht="12.75">
      <c r="A28" s="1" t="s">
        <v>419</v>
      </c>
      <c r="B28" s="1"/>
      <c r="C28" s="1"/>
      <c r="D28" s="1"/>
      <c r="E28" s="1"/>
      <c r="F28" s="1"/>
      <c r="G28" s="1"/>
      <c r="H28" s="1"/>
      <c r="I28" s="1">
        <v>1369.08</v>
      </c>
      <c r="J28" s="1">
        <v>10712.02</v>
      </c>
      <c r="K28" s="1"/>
      <c r="L28" s="1"/>
      <c r="M28" s="1"/>
      <c r="N28" s="1"/>
      <c r="O28" s="1">
        <f>SUM(D28:N28)</f>
        <v>12081.1</v>
      </c>
    </row>
    <row r="29" spans="1:15" s="12" customFormat="1" ht="12.75">
      <c r="A29" s="2" t="s">
        <v>420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>
        <f>O28+O30+O31+O32-O27</f>
        <v>-60357.03999999999</v>
      </c>
    </row>
    <row r="30" spans="1:15" s="12" customFormat="1" ht="12.75">
      <c r="A30" s="1" t="s">
        <v>403</v>
      </c>
      <c r="B30" s="2"/>
      <c r="C30" s="2"/>
      <c r="D30" s="2"/>
      <c r="E30" s="2"/>
      <c r="F30" s="2"/>
      <c r="G30" s="2"/>
      <c r="H30" s="2"/>
      <c r="I30" s="2"/>
      <c r="J30" s="2">
        <v>2698.92</v>
      </c>
      <c r="K30" s="2"/>
      <c r="L30" s="2"/>
      <c r="M30" s="2"/>
      <c r="N30" s="1"/>
      <c r="O30" s="2">
        <f>SUM(H30:N30)</f>
        <v>2698.92</v>
      </c>
    </row>
    <row r="31" spans="1:15" s="12" customFormat="1" ht="12.75">
      <c r="A31" s="1" t="s">
        <v>603</v>
      </c>
      <c r="B31" s="2"/>
      <c r="C31" s="2"/>
      <c r="D31" s="2"/>
      <c r="E31" s="2"/>
      <c r="F31" s="2"/>
      <c r="G31" s="2"/>
      <c r="H31" s="2"/>
      <c r="I31" s="2"/>
      <c r="J31" s="2">
        <v>240</v>
      </c>
      <c r="K31" s="2"/>
      <c r="L31" s="2"/>
      <c r="M31" s="2"/>
      <c r="N31" s="1"/>
      <c r="O31" s="2">
        <f>SUM(J31:N31)</f>
        <v>240</v>
      </c>
    </row>
    <row r="32" spans="1:15" ht="12.75">
      <c r="A32" s="1" t="s">
        <v>527</v>
      </c>
      <c r="B32" s="1"/>
      <c r="C32" s="1"/>
      <c r="D32" s="1"/>
      <c r="E32" s="1"/>
      <c r="F32" s="1"/>
      <c r="G32" s="1"/>
      <c r="H32" s="1"/>
      <c r="I32" s="1"/>
      <c r="J32" s="1">
        <v>140</v>
      </c>
      <c r="K32" s="1"/>
      <c r="L32" s="1"/>
      <c r="M32" s="1"/>
      <c r="N32" s="1"/>
      <c r="O32" s="1">
        <f>SUM(F32:N32)</f>
        <v>140</v>
      </c>
    </row>
    <row r="33" spans="1:15" ht="12.75">
      <c r="A33" s="1"/>
      <c r="B33" s="62" t="s">
        <v>477</v>
      </c>
      <c r="C33" s="63"/>
      <c r="D33" s="63"/>
      <c r="E33" s="63"/>
      <c r="F33" s="64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</sheetData>
  <mergeCells count="1">
    <mergeCell ref="B33:F33"/>
  </mergeCells>
  <printOptions/>
  <pageMargins left="0.75" right="0.75" top="1" bottom="1" header="0.5" footer="0.5"/>
  <pageSetup orientation="landscape" paperSize="9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7">
      <selection activeCell="I28" sqref="I28"/>
    </sheetView>
  </sheetViews>
  <sheetFormatPr defaultColWidth="9.00390625" defaultRowHeight="12.75"/>
  <cols>
    <col min="1" max="1" width="34.375" style="14" customWidth="1"/>
    <col min="2" max="2" width="11.375" style="14" customWidth="1"/>
    <col min="3" max="3" width="7.25390625" style="14" customWidth="1"/>
    <col min="4" max="16384" width="9.125" style="14" customWidth="1"/>
  </cols>
  <sheetData>
    <row r="1" spans="1:15" s="12" customFormat="1" ht="12.75">
      <c r="A1" s="2" t="s">
        <v>422</v>
      </c>
      <c r="B1" s="2">
        <v>4530.24</v>
      </c>
      <c r="C1" s="2" t="s">
        <v>586</v>
      </c>
      <c r="D1" s="2"/>
      <c r="E1" s="2" t="s">
        <v>33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1" t="s">
        <v>421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12" customFormat="1" ht="12.75">
      <c r="A3" s="2" t="s">
        <v>409</v>
      </c>
      <c r="B3" s="2" t="s">
        <v>410</v>
      </c>
      <c r="C3" s="2" t="s">
        <v>434</v>
      </c>
      <c r="D3" s="2" t="s">
        <v>438</v>
      </c>
      <c r="E3" s="2" t="s">
        <v>437</v>
      </c>
      <c r="F3" s="2" t="s">
        <v>436</v>
      </c>
      <c r="G3" s="2" t="s">
        <v>453</v>
      </c>
      <c r="H3" s="2" t="s">
        <v>414</v>
      </c>
      <c r="I3" s="2" t="s">
        <v>416</v>
      </c>
      <c r="J3" s="2" t="s">
        <v>417</v>
      </c>
      <c r="K3" s="2" t="s">
        <v>423</v>
      </c>
      <c r="L3" s="2" t="s">
        <v>424</v>
      </c>
      <c r="M3" s="2" t="s">
        <v>425</v>
      </c>
      <c r="N3" s="2" t="s">
        <v>426</v>
      </c>
      <c r="O3" s="2" t="s">
        <v>427</v>
      </c>
    </row>
    <row r="4" spans="1:15" ht="12.75">
      <c r="A4" s="1" t="s">
        <v>411</v>
      </c>
      <c r="B4" s="1">
        <v>1.57</v>
      </c>
      <c r="C4" s="1"/>
      <c r="D4" s="1"/>
      <c r="E4" s="1"/>
      <c r="F4" s="1"/>
      <c r="G4" s="1"/>
      <c r="H4" s="1"/>
      <c r="I4" s="1">
        <v>7112.48</v>
      </c>
      <c r="J4" s="1">
        <v>7112.48</v>
      </c>
      <c r="K4" s="1"/>
      <c r="L4" s="1"/>
      <c r="M4" s="1"/>
      <c r="N4" s="1"/>
      <c r="O4" s="1">
        <f>SUM(I4:N4)</f>
        <v>14224.96</v>
      </c>
    </row>
    <row r="5" spans="1:15" ht="12.75">
      <c r="A5" s="1" t="s">
        <v>451</v>
      </c>
      <c r="B5" s="1">
        <v>1.6</v>
      </c>
      <c r="C5" s="1"/>
      <c r="D5" s="1"/>
      <c r="E5" s="1"/>
      <c r="F5" s="1"/>
      <c r="G5" s="1"/>
      <c r="H5" s="1"/>
      <c r="I5" s="1">
        <v>7248.38</v>
      </c>
      <c r="J5" s="1">
        <v>7248.38</v>
      </c>
      <c r="K5" s="1"/>
      <c r="L5" s="1"/>
      <c r="M5" s="1"/>
      <c r="N5" s="1"/>
      <c r="O5" s="1">
        <f>SUM(I5:N5)</f>
        <v>14496.76</v>
      </c>
    </row>
    <row r="6" spans="1:15" ht="12.75">
      <c r="A6" s="1" t="s">
        <v>412</v>
      </c>
      <c r="B6" s="1">
        <v>1.6</v>
      </c>
      <c r="C6" s="1"/>
      <c r="D6" s="1"/>
      <c r="E6" s="1"/>
      <c r="F6" s="1"/>
      <c r="G6" s="1"/>
      <c r="H6" s="1"/>
      <c r="I6" s="1">
        <v>7248.38</v>
      </c>
      <c r="J6" s="1">
        <v>7248.38</v>
      </c>
      <c r="K6" s="1"/>
      <c r="L6" s="1"/>
      <c r="M6" s="1"/>
      <c r="N6" s="1"/>
      <c r="O6" s="1">
        <f>SUM(I6:N6)</f>
        <v>14496.76</v>
      </c>
    </row>
    <row r="7" spans="1:15" ht="12.75">
      <c r="A7" s="1" t="s">
        <v>491</v>
      </c>
      <c r="B7" s="1">
        <v>0.44</v>
      </c>
      <c r="C7" s="1"/>
      <c r="D7" s="1"/>
      <c r="E7" s="1"/>
      <c r="F7" s="1"/>
      <c r="G7" s="1"/>
      <c r="H7" s="1"/>
      <c r="I7" s="1">
        <v>1993.31</v>
      </c>
      <c r="J7" s="1">
        <v>1993.31</v>
      </c>
      <c r="K7" s="1"/>
      <c r="L7" s="1"/>
      <c r="M7" s="1"/>
      <c r="N7" s="1"/>
      <c r="O7" s="1">
        <f>SUM(I7:N7)</f>
        <v>3986.62</v>
      </c>
    </row>
    <row r="8" spans="1:15" ht="12.75">
      <c r="A8" s="3" t="s">
        <v>429</v>
      </c>
      <c r="B8" s="1"/>
      <c r="C8" s="1"/>
      <c r="D8" s="1"/>
      <c r="E8" s="1"/>
      <c r="F8" s="1"/>
      <c r="G8" s="1"/>
      <c r="H8" s="1"/>
      <c r="I8" s="1">
        <v>656.88</v>
      </c>
      <c r="J8" s="1">
        <v>656.88</v>
      </c>
      <c r="K8" s="1"/>
      <c r="L8" s="1"/>
      <c r="M8" s="1"/>
      <c r="N8" s="1"/>
      <c r="O8" s="1">
        <f>SUM(C8:N8)</f>
        <v>1313.76</v>
      </c>
    </row>
    <row r="9" spans="1:15" ht="12.75">
      <c r="A9" s="3" t="s">
        <v>278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>
        <f>SUM(C9:N9)</f>
        <v>0</v>
      </c>
    </row>
    <row r="10" spans="1:15" ht="12.75">
      <c r="A10" s="3" t="s">
        <v>478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>
        <f>SUM(C10:N10)</f>
        <v>0</v>
      </c>
    </row>
    <row r="11" spans="1:15" ht="12.75">
      <c r="A11" s="3" t="s">
        <v>435</v>
      </c>
      <c r="B11" s="1">
        <v>0.66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>
        <f>SUM(C11:I11)</f>
        <v>0</v>
      </c>
    </row>
    <row r="12" spans="1:15" ht="22.5">
      <c r="A12" s="3" t="s">
        <v>498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>
        <f aca="true" t="shared" si="0" ref="O12:O26">SUM(C12:I12)</f>
        <v>0</v>
      </c>
    </row>
    <row r="13" spans="1:15" ht="22.5">
      <c r="A13" s="3" t="s">
        <v>496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>
        <f t="shared" si="0"/>
        <v>0</v>
      </c>
    </row>
    <row r="14" spans="1:15" ht="12.75">
      <c r="A14" s="3" t="s">
        <v>490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>
        <f t="shared" si="0"/>
        <v>0</v>
      </c>
    </row>
    <row r="15" spans="1:15" ht="12.75">
      <c r="A15" s="3" t="s">
        <v>230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>
        <f t="shared" si="0"/>
        <v>0</v>
      </c>
    </row>
    <row r="16" spans="1:15" ht="12.75">
      <c r="A16" s="3" t="s">
        <v>509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>
        <f t="shared" si="0"/>
        <v>0</v>
      </c>
    </row>
    <row r="17" spans="1:15" ht="12.75">
      <c r="A17" s="3" t="s">
        <v>231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>
        <f t="shared" si="0"/>
        <v>0</v>
      </c>
    </row>
    <row r="18" spans="1:15" ht="12.75">
      <c r="A18" s="3" t="s">
        <v>114</v>
      </c>
      <c r="B18" s="1"/>
      <c r="C18" s="1"/>
      <c r="D18" s="1"/>
      <c r="E18" s="1"/>
      <c r="F18" s="1"/>
      <c r="G18" s="1"/>
      <c r="H18" s="1"/>
      <c r="I18" s="1">
        <v>1514.12</v>
      </c>
      <c r="J18" s="1"/>
      <c r="K18" s="1"/>
      <c r="L18" s="1"/>
      <c r="M18" s="1"/>
      <c r="N18" s="1"/>
      <c r="O18" s="1">
        <v>1514.12</v>
      </c>
    </row>
    <row r="19" spans="1:15" ht="12.75">
      <c r="A19" s="3" t="s">
        <v>511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>
        <f t="shared" si="0"/>
        <v>0</v>
      </c>
    </row>
    <row r="20" spans="1:15" ht="12.75">
      <c r="A20" s="3" t="s">
        <v>499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</row>
    <row r="21" spans="1:15" ht="22.5">
      <c r="A21" s="3" t="s">
        <v>34</v>
      </c>
      <c r="B21" s="1"/>
      <c r="C21" s="1"/>
      <c r="D21" s="1"/>
      <c r="E21" s="1"/>
      <c r="F21" s="1"/>
      <c r="G21" s="1"/>
      <c r="H21" s="1"/>
      <c r="I21" s="1"/>
      <c r="J21" s="1">
        <v>1740.64</v>
      </c>
      <c r="K21" s="1"/>
      <c r="L21" s="1"/>
      <c r="M21" s="1"/>
      <c r="N21" s="1"/>
      <c r="O21" s="1">
        <v>1740.64</v>
      </c>
    </row>
    <row r="22" spans="1:15" ht="12.75">
      <c r="A22" s="3" t="s">
        <v>67</v>
      </c>
      <c r="B22" s="1"/>
      <c r="C22" s="1"/>
      <c r="D22" s="1"/>
      <c r="E22" s="1"/>
      <c r="F22" s="1"/>
      <c r="G22" s="1"/>
      <c r="H22" s="1"/>
      <c r="I22" s="1">
        <v>22193.2</v>
      </c>
      <c r="J22" s="1"/>
      <c r="K22" s="1"/>
      <c r="L22" s="1"/>
      <c r="M22" s="1"/>
      <c r="N22" s="1"/>
      <c r="O22" s="1">
        <f t="shared" si="0"/>
        <v>22193.2</v>
      </c>
    </row>
    <row r="23" spans="1:15" ht="12.75">
      <c r="A23" s="3" t="s">
        <v>497</v>
      </c>
      <c r="B23" s="1"/>
      <c r="C23" s="1"/>
      <c r="D23" s="1"/>
      <c r="E23" s="1"/>
      <c r="F23" s="1"/>
      <c r="G23" s="1"/>
      <c r="H23" s="1"/>
      <c r="I23" s="1">
        <v>16944</v>
      </c>
      <c r="J23" s="1"/>
      <c r="K23" s="1"/>
      <c r="L23" s="1"/>
      <c r="M23" s="1"/>
      <c r="N23" s="1"/>
      <c r="O23" s="1">
        <f t="shared" si="0"/>
        <v>16944</v>
      </c>
    </row>
    <row r="24" spans="1:15" ht="12.75">
      <c r="A24" s="3" t="s">
        <v>68</v>
      </c>
      <c r="B24" s="1"/>
      <c r="C24" s="1"/>
      <c r="D24" s="1"/>
      <c r="E24" s="1"/>
      <c r="F24" s="1"/>
      <c r="G24" s="1"/>
      <c r="H24" s="1"/>
      <c r="I24" s="1">
        <v>207.08</v>
      </c>
      <c r="J24" s="1"/>
      <c r="K24" s="1"/>
      <c r="L24" s="1"/>
      <c r="M24" s="1"/>
      <c r="N24" s="1"/>
      <c r="O24" s="1">
        <v>207.08</v>
      </c>
    </row>
    <row r="25" spans="1:15" ht="22.5">
      <c r="A25" s="3" t="s">
        <v>608</v>
      </c>
      <c r="B25" s="1"/>
      <c r="C25" s="1"/>
      <c r="D25" s="1"/>
      <c r="E25" s="1"/>
      <c r="F25" s="1"/>
      <c r="G25" s="1"/>
      <c r="H25" s="1"/>
      <c r="I25" s="1">
        <v>2763</v>
      </c>
      <c r="J25" s="1">
        <v>2763</v>
      </c>
      <c r="K25" s="1"/>
      <c r="L25" s="1"/>
      <c r="M25" s="1"/>
      <c r="N25" s="1"/>
      <c r="O25" s="1">
        <v>424.16</v>
      </c>
    </row>
    <row r="26" spans="1:15" ht="12.75">
      <c r="A26" s="3" t="s">
        <v>528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</row>
    <row r="27" spans="1:15" ht="12.75">
      <c r="A27" s="1" t="s">
        <v>415</v>
      </c>
      <c r="B27" s="1"/>
      <c r="C27" s="1">
        <f aca="true" t="shared" si="1" ref="C27:N27">SUM(C4:C26)</f>
        <v>0</v>
      </c>
      <c r="D27" s="1">
        <f t="shared" si="1"/>
        <v>0</v>
      </c>
      <c r="E27" s="1">
        <f t="shared" si="1"/>
        <v>0</v>
      </c>
      <c r="F27" s="1">
        <f t="shared" si="1"/>
        <v>0</v>
      </c>
      <c r="G27" s="1">
        <f t="shared" si="1"/>
        <v>0</v>
      </c>
      <c r="H27" s="1">
        <f t="shared" si="1"/>
        <v>0</v>
      </c>
      <c r="I27" s="1">
        <f>SUM(I4:I26)</f>
        <v>67880.83</v>
      </c>
      <c r="J27" s="1">
        <f>SUM(J4:J26)</f>
        <v>28763.070000000003</v>
      </c>
      <c r="K27" s="1">
        <f t="shared" si="1"/>
        <v>0</v>
      </c>
      <c r="L27" s="1">
        <f t="shared" si="1"/>
        <v>0</v>
      </c>
      <c r="M27" s="1">
        <f t="shared" si="1"/>
        <v>0</v>
      </c>
      <c r="N27" s="1">
        <f t="shared" si="1"/>
        <v>0</v>
      </c>
      <c r="O27" s="1">
        <f>SUM(O4:O26)</f>
        <v>91542.06000000001</v>
      </c>
    </row>
    <row r="28" spans="1:15" ht="12.75">
      <c r="A28" s="1" t="s">
        <v>419</v>
      </c>
      <c r="B28" s="1"/>
      <c r="C28" s="1"/>
      <c r="D28" s="1"/>
      <c r="E28" s="1"/>
      <c r="F28" s="1"/>
      <c r="G28" s="1"/>
      <c r="H28" s="1"/>
      <c r="I28" s="1">
        <v>9263.13</v>
      </c>
      <c r="J28" s="1">
        <v>42014.49</v>
      </c>
      <c r="K28" s="1"/>
      <c r="L28" s="1"/>
      <c r="M28" s="1"/>
      <c r="N28" s="1"/>
      <c r="O28" s="1">
        <f>SUM(D28:N28)</f>
        <v>51277.619999999995</v>
      </c>
    </row>
    <row r="29" spans="1:15" s="12" customFormat="1" ht="12.75">
      <c r="A29" s="2" t="s">
        <v>420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>
        <f>O28+O31+O32-O27</f>
        <v>-39884.44000000002</v>
      </c>
    </row>
    <row r="30" spans="1:15" s="12" customFormat="1" ht="12.75">
      <c r="A30" s="1" t="s">
        <v>403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"/>
      <c r="O30" s="2">
        <f>SUM(H30:N30)</f>
        <v>0</v>
      </c>
    </row>
    <row r="31" spans="1:15" s="12" customFormat="1" ht="12.75">
      <c r="A31" s="1" t="s">
        <v>603</v>
      </c>
      <c r="B31" s="2"/>
      <c r="C31" s="2"/>
      <c r="D31" s="2"/>
      <c r="E31" s="2"/>
      <c r="F31" s="2"/>
      <c r="G31" s="2"/>
      <c r="H31" s="2"/>
      <c r="I31" s="2"/>
      <c r="J31" s="2">
        <v>240</v>
      </c>
      <c r="K31" s="2"/>
      <c r="L31" s="2"/>
      <c r="M31" s="2"/>
      <c r="N31" s="1"/>
      <c r="O31" s="2">
        <f>SUM(I31:N31)</f>
        <v>240</v>
      </c>
    </row>
    <row r="32" spans="1:15" ht="12.75">
      <c r="A32" s="1" t="s">
        <v>527</v>
      </c>
      <c r="B32" s="1"/>
      <c r="C32" s="1"/>
      <c r="D32" s="1"/>
      <c r="E32" s="1"/>
      <c r="F32" s="1"/>
      <c r="G32" s="1"/>
      <c r="H32" s="1"/>
      <c r="I32" s="1"/>
      <c r="J32" s="1">
        <v>140</v>
      </c>
      <c r="K32" s="1"/>
      <c r="L32" s="1"/>
      <c r="M32" s="1"/>
      <c r="N32" s="1"/>
      <c r="O32" s="1">
        <f>SUM(F32:N32)</f>
        <v>140</v>
      </c>
    </row>
    <row r="33" spans="1:15" ht="12.75">
      <c r="A33" s="1"/>
      <c r="B33" s="62" t="s">
        <v>477</v>
      </c>
      <c r="C33" s="63"/>
      <c r="D33" s="63"/>
      <c r="E33" s="63"/>
      <c r="F33" s="64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</sheetData>
  <mergeCells count="1">
    <mergeCell ref="B33:F33"/>
  </mergeCells>
  <printOptions/>
  <pageMargins left="0.75" right="0.75" top="1" bottom="1" header="0.5" footer="0.5"/>
  <pageSetup orientation="landscape" paperSize="9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M42" sqref="M42"/>
    </sheetView>
  </sheetViews>
  <sheetFormatPr defaultColWidth="9.00390625" defaultRowHeight="12.75"/>
  <cols>
    <col min="1" max="1" width="34.375" style="14" customWidth="1"/>
    <col min="2" max="2" width="11.375" style="14" customWidth="1"/>
    <col min="3" max="3" width="7.25390625" style="14" customWidth="1"/>
    <col min="4" max="16384" width="9.125" style="14" customWidth="1"/>
  </cols>
  <sheetData>
    <row r="1" spans="1:15" s="12" customFormat="1" ht="12.75">
      <c r="A1" s="2" t="s">
        <v>422</v>
      </c>
      <c r="B1" s="2">
        <v>3865.4</v>
      </c>
      <c r="C1" s="2" t="s">
        <v>586</v>
      </c>
      <c r="D1" s="2"/>
      <c r="E1" s="2" t="s">
        <v>585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1" t="s">
        <v>421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12" customFormat="1" ht="12.75">
      <c r="A3" s="2" t="s">
        <v>409</v>
      </c>
      <c r="B3" s="2" t="s">
        <v>410</v>
      </c>
      <c r="C3" s="2" t="s">
        <v>434</v>
      </c>
      <c r="D3" s="2" t="s">
        <v>438</v>
      </c>
      <c r="E3" s="2" t="s">
        <v>437</v>
      </c>
      <c r="F3" s="2" t="s">
        <v>436</v>
      </c>
      <c r="G3" s="2" t="s">
        <v>453</v>
      </c>
      <c r="H3" s="2" t="s">
        <v>414</v>
      </c>
      <c r="I3" s="2" t="s">
        <v>416</v>
      </c>
      <c r="J3" s="2" t="s">
        <v>417</v>
      </c>
      <c r="K3" s="2" t="s">
        <v>423</v>
      </c>
      <c r="L3" s="2" t="s">
        <v>424</v>
      </c>
      <c r="M3" s="2" t="s">
        <v>425</v>
      </c>
      <c r="N3" s="2" t="s">
        <v>426</v>
      </c>
      <c r="O3" s="2" t="s">
        <v>427</v>
      </c>
    </row>
    <row r="4" spans="1:15" ht="12.75">
      <c r="A4" s="1" t="s">
        <v>411</v>
      </c>
      <c r="B4" s="1">
        <v>1.57</v>
      </c>
      <c r="C4" s="1"/>
      <c r="D4" s="1">
        <f>B4*B1</f>
        <v>6068.678000000001</v>
      </c>
      <c r="E4" s="1">
        <f>B4*B1</f>
        <v>6068.678000000001</v>
      </c>
      <c r="F4" s="1">
        <f>B4*B1</f>
        <v>6068.678000000001</v>
      </c>
      <c r="G4" s="1">
        <f>B4*B1</f>
        <v>6068.678000000001</v>
      </c>
      <c r="H4" s="1">
        <v>6068.68</v>
      </c>
      <c r="I4" s="1">
        <v>6068.68</v>
      </c>
      <c r="J4" s="1">
        <v>6068.68</v>
      </c>
      <c r="K4" s="1"/>
      <c r="L4" s="1"/>
      <c r="M4" s="1"/>
      <c r="N4" s="1"/>
      <c r="O4" s="1">
        <f>SUM(C4:I4)</f>
        <v>36412.072</v>
      </c>
    </row>
    <row r="5" spans="1:15" ht="12.75">
      <c r="A5" s="1" t="s">
        <v>451</v>
      </c>
      <c r="B5" s="1">
        <v>1.6</v>
      </c>
      <c r="C5" s="1"/>
      <c r="D5" s="1">
        <f>B5*B1</f>
        <v>6184.64</v>
      </c>
      <c r="E5" s="1">
        <f>B5*B1</f>
        <v>6184.64</v>
      </c>
      <c r="F5" s="1">
        <f>B5*B1</f>
        <v>6184.64</v>
      </c>
      <c r="G5" s="1">
        <f>B5*B1</f>
        <v>6184.64</v>
      </c>
      <c r="H5" s="1">
        <v>6184.64</v>
      </c>
      <c r="I5" s="1">
        <v>6184.64</v>
      </c>
      <c r="J5" s="1">
        <v>6184.64</v>
      </c>
      <c r="K5" s="1"/>
      <c r="L5" s="1"/>
      <c r="M5" s="1"/>
      <c r="N5" s="1"/>
      <c r="O5" s="1">
        <f>SUM(C5:I5)</f>
        <v>37107.840000000004</v>
      </c>
    </row>
    <row r="6" spans="1:15" ht="12.75">
      <c r="A6" s="1" t="s">
        <v>412</v>
      </c>
      <c r="B6" s="1">
        <v>1.6</v>
      </c>
      <c r="C6" s="1"/>
      <c r="D6" s="1">
        <f>B6*B1</f>
        <v>6184.64</v>
      </c>
      <c r="E6" s="1">
        <f>B6*B1</f>
        <v>6184.64</v>
      </c>
      <c r="F6" s="1">
        <f>B6*B1</f>
        <v>6184.64</v>
      </c>
      <c r="G6" s="1">
        <f>B6*B1</f>
        <v>6184.64</v>
      </c>
      <c r="H6" s="1">
        <v>6184.64</v>
      </c>
      <c r="I6" s="1">
        <v>6184.64</v>
      </c>
      <c r="J6" s="1">
        <v>6184.64</v>
      </c>
      <c r="K6" s="1"/>
      <c r="L6" s="1"/>
      <c r="M6" s="1"/>
      <c r="N6" s="1"/>
      <c r="O6" s="1">
        <f>SUM(C6:I6)</f>
        <v>37107.840000000004</v>
      </c>
    </row>
    <row r="7" spans="1:15" ht="12.75">
      <c r="A7" s="1" t="s">
        <v>491</v>
      </c>
      <c r="B7" s="1">
        <v>0.44</v>
      </c>
      <c r="C7" s="1"/>
      <c r="D7" s="1">
        <f>B7*B1</f>
        <v>1700.776</v>
      </c>
      <c r="E7" s="1">
        <f>B7*B1</f>
        <v>1700.776</v>
      </c>
      <c r="F7" s="1">
        <f>B7*B1</f>
        <v>1700.776</v>
      </c>
      <c r="G7" s="1">
        <f>B7*B1</f>
        <v>1700.776</v>
      </c>
      <c r="H7" s="1">
        <v>1700.78</v>
      </c>
      <c r="I7" s="1">
        <v>1700.78</v>
      </c>
      <c r="J7" s="1">
        <v>1700.78</v>
      </c>
      <c r="K7" s="1"/>
      <c r="L7" s="1"/>
      <c r="M7" s="1"/>
      <c r="N7" s="1"/>
      <c r="O7" s="1">
        <f>SUM(C7:I7)</f>
        <v>10204.664</v>
      </c>
    </row>
    <row r="8" spans="1:15" ht="12.75">
      <c r="A8" s="3" t="s">
        <v>429</v>
      </c>
      <c r="B8" s="1"/>
      <c r="C8" s="1"/>
      <c r="D8" s="1">
        <v>177.81</v>
      </c>
      <c r="E8" s="1">
        <v>177.81</v>
      </c>
      <c r="F8" s="1">
        <v>177.81</v>
      </c>
      <c r="G8" s="1">
        <v>177.81</v>
      </c>
      <c r="H8" s="1">
        <v>123.69</v>
      </c>
      <c r="I8" s="1">
        <v>531.5</v>
      </c>
      <c r="J8" s="1">
        <v>531.5</v>
      </c>
      <c r="K8" s="1"/>
      <c r="L8" s="1"/>
      <c r="M8" s="1"/>
      <c r="N8" s="1"/>
      <c r="O8" s="1">
        <f>SUM(C8:N8)</f>
        <v>1897.93</v>
      </c>
    </row>
    <row r="9" spans="1:15" ht="12.75">
      <c r="A9" s="3" t="s">
        <v>278</v>
      </c>
      <c r="B9" s="1"/>
      <c r="C9" s="1"/>
      <c r="D9" s="1">
        <v>500</v>
      </c>
      <c r="E9" s="1">
        <v>500</v>
      </c>
      <c r="F9" s="1">
        <v>500</v>
      </c>
      <c r="G9" s="1">
        <v>500</v>
      </c>
      <c r="H9" s="1">
        <v>500</v>
      </c>
      <c r="I9" s="1">
        <v>500</v>
      </c>
      <c r="J9" s="1">
        <v>500</v>
      </c>
      <c r="K9" s="1"/>
      <c r="L9" s="1"/>
      <c r="M9" s="1"/>
      <c r="N9" s="1"/>
      <c r="O9" s="1">
        <f>SUM(C9:N9)</f>
        <v>3500</v>
      </c>
    </row>
    <row r="10" spans="1:15" ht="12.75">
      <c r="A10" s="3" t="s">
        <v>478</v>
      </c>
      <c r="B10" s="1"/>
      <c r="C10" s="1"/>
      <c r="D10" s="1">
        <v>4068.68</v>
      </c>
      <c r="E10" s="1">
        <v>4068.68</v>
      </c>
      <c r="F10" s="1">
        <v>4068.68</v>
      </c>
      <c r="G10" s="1">
        <v>4068.68</v>
      </c>
      <c r="H10" s="1">
        <v>4068.68</v>
      </c>
      <c r="I10" s="1">
        <v>4068.68</v>
      </c>
      <c r="J10" s="1">
        <v>4068.68</v>
      </c>
      <c r="K10" s="1"/>
      <c r="L10" s="1"/>
      <c r="M10" s="1"/>
      <c r="N10" s="1"/>
      <c r="O10" s="1">
        <f>SUM(C10:N10)</f>
        <v>28480.76</v>
      </c>
    </row>
    <row r="11" spans="1:15" ht="12.75">
      <c r="A11" s="3" t="s">
        <v>435</v>
      </c>
      <c r="B11" s="1">
        <v>0.66</v>
      </c>
      <c r="C11" s="1"/>
      <c r="D11" s="1">
        <v>2419.47</v>
      </c>
      <c r="E11" s="1">
        <v>2419.47</v>
      </c>
      <c r="F11" s="1">
        <v>2419.47</v>
      </c>
      <c r="G11" s="1">
        <v>2419.47</v>
      </c>
      <c r="H11" s="1">
        <v>2419.47</v>
      </c>
      <c r="I11" s="1">
        <v>2419.47</v>
      </c>
      <c r="J11" s="1">
        <v>2419.47</v>
      </c>
      <c r="K11" s="1"/>
      <c r="L11" s="1"/>
      <c r="M11" s="1"/>
      <c r="N11" s="1"/>
      <c r="O11" s="1">
        <f>SUM(C11:I11)</f>
        <v>14516.819999999998</v>
      </c>
    </row>
    <row r="12" spans="1:15" ht="22.5">
      <c r="A12" s="3" t="s">
        <v>608</v>
      </c>
      <c r="B12" s="1"/>
      <c r="C12" s="1"/>
      <c r="D12" s="1">
        <v>2679</v>
      </c>
      <c r="E12" s="1">
        <v>2679</v>
      </c>
      <c r="F12" s="1">
        <v>2679</v>
      </c>
      <c r="G12" s="1">
        <v>2979</v>
      </c>
      <c r="H12" s="1">
        <v>2679</v>
      </c>
      <c r="I12" s="1">
        <v>2679</v>
      </c>
      <c r="J12" s="1">
        <v>2679</v>
      </c>
      <c r="K12" s="1"/>
      <c r="L12" s="1"/>
      <c r="M12" s="1"/>
      <c r="N12" s="1"/>
      <c r="O12" s="1">
        <f>SUM(D12:N12)</f>
        <v>19053</v>
      </c>
    </row>
    <row r="13" spans="1:15" ht="22.5">
      <c r="A13" s="3" t="s">
        <v>498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>
        <f aca="true" t="shared" si="0" ref="O13:O43">SUM(C13:I13)</f>
        <v>0</v>
      </c>
    </row>
    <row r="14" spans="1:15" ht="22.5">
      <c r="A14" s="3" t="s">
        <v>496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>
        <f t="shared" si="0"/>
        <v>0</v>
      </c>
    </row>
    <row r="15" spans="1:15" ht="12.75">
      <c r="A15" s="3" t="s">
        <v>490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>
        <f t="shared" si="0"/>
        <v>0</v>
      </c>
    </row>
    <row r="16" spans="1:15" ht="12.75">
      <c r="A16" s="3" t="s">
        <v>230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>
        <f t="shared" si="0"/>
        <v>0</v>
      </c>
    </row>
    <row r="17" spans="1:15" ht="12.75">
      <c r="A17" s="3" t="s">
        <v>509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>
        <f t="shared" si="0"/>
        <v>0</v>
      </c>
    </row>
    <row r="18" spans="1:15" ht="12.75">
      <c r="A18" s="3" t="s">
        <v>231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>
        <f t="shared" si="0"/>
        <v>0</v>
      </c>
    </row>
    <row r="19" spans="1:15" ht="12.75">
      <c r="A19" s="3" t="s">
        <v>511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>
        <f t="shared" si="0"/>
        <v>0</v>
      </c>
    </row>
    <row r="20" spans="1:15" ht="12.75">
      <c r="A20" s="3" t="s">
        <v>499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</row>
    <row r="21" spans="1:15" ht="12.75">
      <c r="A21" s="3" t="s">
        <v>64</v>
      </c>
      <c r="B21" s="1"/>
      <c r="C21" s="1"/>
      <c r="D21" s="1"/>
      <c r="E21" s="1"/>
      <c r="F21" s="1"/>
      <c r="G21" s="1"/>
      <c r="H21" s="1"/>
      <c r="I21" s="1">
        <v>484.16</v>
      </c>
      <c r="J21" s="1"/>
      <c r="K21" s="1"/>
      <c r="L21" s="1"/>
      <c r="M21" s="1"/>
      <c r="N21" s="1"/>
      <c r="O21" s="1">
        <v>484.16</v>
      </c>
    </row>
    <row r="22" spans="1:15" ht="12.75">
      <c r="A22" s="3" t="s">
        <v>587</v>
      </c>
      <c r="B22" s="1"/>
      <c r="C22" s="1"/>
      <c r="D22" s="1"/>
      <c r="E22" s="1">
        <v>4907.96</v>
      </c>
      <c r="F22" s="1"/>
      <c r="G22" s="1"/>
      <c r="H22" s="1"/>
      <c r="I22" s="1"/>
      <c r="J22" s="1"/>
      <c r="K22" s="1"/>
      <c r="L22" s="1"/>
      <c r="M22" s="1"/>
      <c r="N22" s="1"/>
      <c r="O22" s="1">
        <f t="shared" si="0"/>
        <v>4907.96</v>
      </c>
    </row>
    <row r="23" spans="1:15" ht="12.75">
      <c r="A23" s="3" t="s">
        <v>588</v>
      </c>
      <c r="B23" s="1"/>
      <c r="C23" s="1"/>
      <c r="D23" s="1"/>
      <c r="E23" s="1">
        <v>3399.96</v>
      </c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3399.96</v>
      </c>
    </row>
    <row r="24" spans="1:15" ht="22.5">
      <c r="A24" s="3" t="s">
        <v>654</v>
      </c>
      <c r="B24" s="1"/>
      <c r="C24" s="1"/>
      <c r="D24" s="1"/>
      <c r="E24" s="1"/>
      <c r="F24" s="1"/>
      <c r="G24" s="1">
        <v>1820</v>
      </c>
      <c r="H24" s="1"/>
      <c r="I24" s="1"/>
      <c r="J24" s="1"/>
      <c r="K24" s="1"/>
      <c r="L24" s="1"/>
      <c r="M24" s="1"/>
      <c r="N24" s="1"/>
      <c r="O24" s="1">
        <f>SUM(C24:N24)</f>
        <v>1820</v>
      </c>
    </row>
    <row r="25" spans="1:15" ht="22.5">
      <c r="A25" s="3" t="s">
        <v>589</v>
      </c>
      <c r="B25" s="1"/>
      <c r="C25" s="1"/>
      <c r="D25" s="1"/>
      <c r="E25" s="1"/>
      <c r="F25" s="1">
        <v>878.32</v>
      </c>
      <c r="G25" s="1"/>
      <c r="H25" s="1"/>
      <c r="I25" s="1"/>
      <c r="J25" s="1"/>
      <c r="K25" s="1"/>
      <c r="L25" s="1"/>
      <c r="M25" s="1"/>
      <c r="N25" s="1"/>
      <c r="O25" s="1">
        <f t="shared" si="0"/>
        <v>878.32</v>
      </c>
    </row>
    <row r="26" spans="1:15" ht="12.75">
      <c r="A26" s="3" t="s">
        <v>497</v>
      </c>
      <c r="B26" s="1"/>
      <c r="C26" s="1"/>
      <c r="D26" s="1"/>
      <c r="E26" s="1"/>
      <c r="F26" s="1"/>
      <c r="G26" s="1"/>
      <c r="H26" s="1"/>
      <c r="I26" s="1">
        <v>16944</v>
      </c>
      <c r="J26" s="1"/>
      <c r="K26" s="1"/>
      <c r="L26" s="1"/>
      <c r="M26" s="1"/>
      <c r="N26" s="1"/>
      <c r="O26" s="1">
        <f t="shared" si="0"/>
        <v>16944</v>
      </c>
    </row>
    <row r="27" spans="1:15" ht="12.75">
      <c r="A27" s="3" t="s">
        <v>560</v>
      </c>
      <c r="B27" s="1"/>
      <c r="C27" s="1"/>
      <c r="D27" s="1"/>
      <c r="E27" s="1"/>
      <c r="F27" s="1">
        <v>828.32</v>
      </c>
      <c r="G27" s="1"/>
      <c r="H27" s="1"/>
      <c r="I27" s="1"/>
      <c r="J27" s="1"/>
      <c r="K27" s="1"/>
      <c r="L27" s="1"/>
      <c r="M27" s="1"/>
      <c r="N27" s="1"/>
      <c r="O27" s="1">
        <f>SUM(D27:N27)</f>
        <v>828.32</v>
      </c>
    </row>
    <row r="28" spans="1:15" ht="22.5">
      <c r="A28" s="3" t="s">
        <v>590</v>
      </c>
      <c r="B28" s="1"/>
      <c r="C28" s="1"/>
      <c r="D28" s="1">
        <v>621.24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621.24</v>
      </c>
    </row>
    <row r="29" spans="1:15" ht="12.75">
      <c r="A29" s="3" t="s">
        <v>44</v>
      </c>
      <c r="B29" s="1"/>
      <c r="C29" s="1"/>
      <c r="D29" s="1"/>
      <c r="E29" s="1"/>
      <c r="F29" s="1"/>
      <c r="G29" s="1"/>
      <c r="H29" s="1"/>
      <c r="I29" s="1"/>
      <c r="J29" s="1">
        <v>859.32</v>
      </c>
      <c r="K29" s="1"/>
      <c r="L29" s="1"/>
      <c r="M29" s="1"/>
      <c r="N29" s="1"/>
      <c r="O29" s="1">
        <v>859.32</v>
      </c>
    </row>
    <row r="30" spans="1:15" ht="22.5">
      <c r="A30" s="3" t="s">
        <v>591</v>
      </c>
      <c r="B30" s="1"/>
      <c r="C30" s="1"/>
      <c r="D30" s="1">
        <v>1805.56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1805.56</v>
      </c>
    </row>
    <row r="31" spans="1:15" ht="22.5">
      <c r="A31" s="3" t="s">
        <v>592</v>
      </c>
      <c r="B31" s="1"/>
      <c r="C31" s="1"/>
      <c r="D31" s="1">
        <v>1828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1828</v>
      </c>
    </row>
    <row r="32" spans="1:15" ht="12.75">
      <c r="A32" s="3" t="s">
        <v>611</v>
      </c>
      <c r="B32" s="1"/>
      <c r="C32" s="1"/>
      <c r="D32" s="1"/>
      <c r="E32" s="1"/>
      <c r="F32" s="1">
        <v>307.08</v>
      </c>
      <c r="G32" s="1"/>
      <c r="H32" s="1"/>
      <c r="I32" s="1"/>
      <c r="J32" s="1"/>
      <c r="K32" s="1"/>
      <c r="L32" s="1"/>
      <c r="M32" s="1"/>
      <c r="N32" s="1"/>
      <c r="O32" s="1">
        <v>307.08</v>
      </c>
    </row>
    <row r="33" spans="1:15" ht="12.75">
      <c r="A33" s="3" t="s">
        <v>734</v>
      </c>
      <c r="B33" s="1"/>
      <c r="C33" s="1"/>
      <c r="D33" s="1"/>
      <c r="E33" s="1"/>
      <c r="F33" s="1">
        <v>1312.32</v>
      </c>
      <c r="G33" s="1"/>
      <c r="H33" s="1"/>
      <c r="I33" s="1"/>
      <c r="J33" s="1"/>
      <c r="K33" s="1"/>
      <c r="L33" s="1"/>
      <c r="M33" s="1"/>
      <c r="N33" s="1"/>
      <c r="O33" s="1">
        <v>1312.32</v>
      </c>
    </row>
    <row r="34" spans="1:15" ht="12.75">
      <c r="A34" s="3" t="s">
        <v>593</v>
      </c>
      <c r="B34" s="1"/>
      <c r="C34" s="1"/>
      <c r="D34" s="1"/>
      <c r="E34" s="1"/>
      <c r="F34" s="1">
        <v>1820</v>
      </c>
      <c r="G34" s="1"/>
      <c r="H34" s="1"/>
      <c r="I34" s="1"/>
      <c r="J34" s="1"/>
      <c r="K34" s="1"/>
      <c r="L34" s="1"/>
      <c r="M34" s="1"/>
      <c r="N34" s="1"/>
      <c r="O34" s="1">
        <f t="shared" si="0"/>
        <v>1820</v>
      </c>
    </row>
    <row r="35" spans="1:15" ht="12.75">
      <c r="A35" s="3" t="s">
        <v>700</v>
      </c>
      <c r="B35" s="1"/>
      <c r="C35" s="1"/>
      <c r="D35" s="1"/>
      <c r="E35" s="1"/>
      <c r="F35" s="1">
        <v>414.16</v>
      </c>
      <c r="G35" s="1"/>
      <c r="H35" s="1"/>
      <c r="I35" s="1"/>
      <c r="J35" s="1"/>
      <c r="K35" s="1"/>
      <c r="L35" s="1"/>
      <c r="M35" s="1"/>
      <c r="N35" s="1"/>
      <c r="O35" s="1">
        <v>414.16</v>
      </c>
    </row>
    <row r="36" spans="1:15" ht="22.5">
      <c r="A36" s="3" t="s">
        <v>108</v>
      </c>
      <c r="B36" s="1"/>
      <c r="C36" s="1"/>
      <c r="D36" s="1"/>
      <c r="E36" s="1"/>
      <c r="F36" s="1"/>
      <c r="G36" s="1"/>
      <c r="H36" s="1"/>
      <c r="I36" s="1">
        <v>5704.1</v>
      </c>
      <c r="J36" s="1"/>
      <c r="K36" s="1"/>
      <c r="L36" s="1"/>
      <c r="M36" s="1"/>
      <c r="N36" s="1"/>
      <c r="O36" s="1">
        <v>5704.1</v>
      </c>
    </row>
    <row r="37" spans="1:15" ht="22.5">
      <c r="A37" s="3" t="s">
        <v>753</v>
      </c>
      <c r="B37" s="1"/>
      <c r="C37" s="1"/>
      <c r="D37" s="1"/>
      <c r="E37" s="1"/>
      <c r="F37" s="1"/>
      <c r="G37" s="1"/>
      <c r="H37" s="1">
        <v>424.16</v>
      </c>
      <c r="I37" s="1"/>
      <c r="J37" s="1"/>
      <c r="K37" s="1"/>
      <c r="L37" s="1"/>
      <c r="M37" s="1"/>
      <c r="N37" s="1"/>
      <c r="O37" s="1">
        <v>424.16</v>
      </c>
    </row>
    <row r="38" spans="1:15" ht="12.75">
      <c r="A38" s="3" t="s">
        <v>594</v>
      </c>
      <c r="B38" s="1"/>
      <c r="C38" s="1"/>
      <c r="D38" s="1"/>
      <c r="E38" s="1">
        <v>1040</v>
      </c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1040</v>
      </c>
    </row>
    <row r="39" spans="1:15" ht="12.75">
      <c r="A39" s="3" t="s">
        <v>664</v>
      </c>
      <c r="B39" s="1"/>
      <c r="C39" s="1"/>
      <c r="D39" s="1"/>
      <c r="E39" s="1"/>
      <c r="F39" s="1"/>
      <c r="G39" s="1"/>
      <c r="H39" s="1">
        <v>4000</v>
      </c>
      <c r="I39" s="1"/>
      <c r="J39" s="1"/>
      <c r="K39" s="1"/>
      <c r="L39" s="1"/>
      <c r="M39" s="1"/>
      <c r="N39" s="1"/>
      <c r="O39" s="1">
        <v>4000</v>
      </c>
    </row>
    <row r="40" spans="1:15" ht="12.75">
      <c r="A40" s="3" t="s">
        <v>595</v>
      </c>
      <c r="B40" s="1"/>
      <c r="C40" s="1"/>
      <c r="D40" s="1"/>
      <c r="E40" s="1">
        <v>910</v>
      </c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910</v>
      </c>
    </row>
    <row r="41" spans="1:15" ht="15.75" customHeight="1">
      <c r="A41" s="3" t="s">
        <v>596</v>
      </c>
      <c r="B41" s="1"/>
      <c r="C41" s="1"/>
      <c r="D41" s="1"/>
      <c r="E41" s="1">
        <v>1339.72</v>
      </c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1339.72</v>
      </c>
    </row>
    <row r="42" spans="1:15" ht="12.75">
      <c r="A42" s="3" t="s">
        <v>597</v>
      </c>
      <c r="B42" s="1"/>
      <c r="C42" s="1"/>
      <c r="D42" s="1">
        <v>14000</v>
      </c>
      <c r="E42" s="1">
        <v>28000</v>
      </c>
      <c r="F42" s="1">
        <v>28000</v>
      </c>
      <c r="G42" s="1">
        <v>14000</v>
      </c>
      <c r="H42" s="1"/>
      <c r="I42" s="1"/>
      <c r="J42" s="1"/>
      <c r="K42" s="1"/>
      <c r="L42" s="1"/>
      <c r="M42" s="1"/>
      <c r="N42" s="1"/>
      <c r="O42" s="1">
        <f t="shared" si="0"/>
        <v>84000</v>
      </c>
    </row>
    <row r="43" spans="1:15" ht="12.75">
      <c r="A43" s="3" t="s">
        <v>528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</row>
    <row r="44" spans="1:15" ht="12.75">
      <c r="A44" s="1" t="s">
        <v>415</v>
      </c>
      <c r="B44" s="1"/>
      <c r="C44" s="1">
        <f aca="true" t="shared" si="1" ref="C44:O44">SUM(C4:C43)</f>
        <v>0</v>
      </c>
      <c r="D44" s="1">
        <f t="shared" si="1"/>
        <v>48238.494000000006</v>
      </c>
      <c r="E44" s="1">
        <f t="shared" si="1"/>
        <v>69581.334</v>
      </c>
      <c r="F44" s="1">
        <f t="shared" si="1"/>
        <v>63543.894000000015</v>
      </c>
      <c r="G44" s="1">
        <f t="shared" si="1"/>
        <v>46103.694</v>
      </c>
      <c r="H44" s="1">
        <f t="shared" si="1"/>
        <v>34353.74</v>
      </c>
      <c r="I44" s="1">
        <f t="shared" si="1"/>
        <v>53469.65</v>
      </c>
      <c r="J44" s="1">
        <f t="shared" si="1"/>
        <v>31196.71</v>
      </c>
      <c r="K44" s="1">
        <f t="shared" si="1"/>
        <v>0</v>
      </c>
      <c r="L44" s="1">
        <f t="shared" si="1"/>
        <v>0</v>
      </c>
      <c r="M44" s="1">
        <f t="shared" si="1"/>
        <v>0</v>
      </c>
      <c r="N44" s="1">
        <f t="shared" si="1"/>
        <v>0</v>
      </c>
      <c r="O44" s="1">
        <f t="shared" si="1"/>
        <v>323929.306</v>
      </c>
    </row>
    <row r="45" spans="1:15" ht="12.75">
      <c r="A45" s="1" t="s">
        <v>419</v>
      </c>
      <c r="B45" s="1"/>
      <c r="C45" s="1"/>
      <c r="D45" s="1">
        <v>497.31</v>
      </c>
      <c r="E45" s="1">
        <v>51139.96</v>
      </c>
      <c r="F45" s="1">
        <v>53455.12</v>
      </c>
      <c r="G45" s="1">
        <v>53176.74</v>
      </c>
      <c r="H45" s="1">
        <v>49187.28</v>
      </c>
      <c r="I45" s="1">
        <v>57375.9</v>
      </c>
      <c r="J45" s="1">
        <v>51462.27</v>
      </c>
      <c r="K45" s="1"/>
      <c r="L45" s="1"/>
      <c r="M45" s="1"/>
      <c r="N45" s="1"/>
      <c r="O45" s="1">
        <f>SUM(D45:N45)</f>
        <v>316294.58</v>
      </c>
    </row>
    <row r="46" spans="1:15" s="12" customFormat="1" ht="12.75">
      <c r="A46" s="2" t="s">
        <v>420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>
        <f>SUM(O45+O48+O49-O44)</f>
        <v>-688.225999999966</v>
      </c>
    </row>
    <row r="47" spans="1:15" s="12" customFormat="1" ht="12.75">
      <c r="A47" s="1" t="s">
        <v>403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"/>
      <c r="O47" s="2">
        <f>SUM(H47:N47)</f>
        <v>0</v>
      </c>
    </row>
    <row r="48" spans="1:15" s="12" customFormat="1" ht="12.75">
      <c r="A48" s="1" t="s">
        <v>603</v>
      </c>
      <c r="B48" s="2"/>
      <c r="C48" s="2"/>
      <c r="D48" s="2"/>
      <c r="E48" s="2"/>
      <c r="F48" s="2">
        <v>378</v>
      </c>
      <c r="G48" s="2"/>
      <c r="H48" s="2">
        <v>400</v>
      </c>
      <c r="I48" s="2"/>
      <c r="J48" s="2">
        <v>240</v>
      </c>
      <c r="K48" s="2"/>
      <c r="L48" s="2"/>
      <c r="M48" s="2"/>
      <c r="N48" s="1"/>
      <c r="O48" s="2">
        <f>SUM(F48:N48)</f>
        <v>1018</v>
      </c>
    </row>
    <row r="49" spans="1:15" ht="12.75">
      <c r="A49" s="1" t="s">
        <v>527</v>
      </c>
      <c r="B49" s="1"/>
      <c r="C49" s="1"/>
      <c r="D49" s="1"/>
      <c r="E49" s="1"/>
      <c r="F49" s="1">
        <v>3675</v>
      </c>
      <c r="G49" s="1">
        <v>1513.5</v>
      </c>
      <c r="H49" s="1">
        <v>600</v>
      </c>
      <c r="I49" s="1"/>
      <c r="J49" s="1">
        <v>140</v>
      </c>
      <c r="K49" s="1"/>
      <c r="L49" s="1"/>
      <c r="M49" s="1"/>
      <c r="N49" s="1"/>
      <c r="O49" s="1">
        <f>SUM(F49:N49)</f>
        <v>5928.5</v>
      </c>
    </row>
    <row r="50" spans="1:15" ht="12.75">
      <c r="A50" s="1"/>
      <c r="B50" s="62" t="s">
        <v>477</v>
      </c>
      <c r="C50" s="63"/>
      <c r="D50" s="63"/>
      <c r="E50" s="63"/>
      <c r="F50" s="64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mergeCells count="1">
    <mergeCell ref="B50:F50"/>
  </mergeCells>
  <printOptions/>
  <pageMargins left="0.75" right="0.75" top="1" bottom="1" header="0.5" footer="0.5"/>
  <pageSetup orientation="landscape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J60" sqref="J60"/>
    </sheetView>
  </sheetViews>
  <sheetFormatPr defaultColWidth="9.00390625" defaultRowHeight="12.75"/>
  <cols>
    <col min="1" max="1" width="38.75390625" style="14" customWidth="1"/>
    <col min="2" max="2" width="11.75390625" style="14" customWidth="1"/>
    <col min="3" max="3" width="8.25390625" style="14" customWidth="1"/>
    <col min="4" max="5" width="8.75390625" style="14" customWidth="1"/>
    <col min="6" max="6" width="8.25390625" style="14" customWidth="1"/>
    <col min="7" max="7" width="8.375" style="14" customWidth="1"/>
    <col min="8" max="8" width="9.25390625" style="14" bestFit="1" customWidth="1"/>
    <col min="9" max="9" width="8.125" style="14" customWidth="1"/>
    <col min="10" max="14" width="9.25390625" style="14" bestFit="1" customWidth="1"/>
    <col min="15" max="15" width="8.00390625" style="14" customWidth="1"/>
    <col min="16" max="16" width="9.375" style="14" bestFit="1" customWidth="1"/>
    <col min="17" max="16384" width="9.125" style="14" customWidth="1"/>
  </cols>
  <sheetData>
    <row r="1" spans="1:16" s="12" customFormat="1" ht="12.75">
      <c r="A1" s="2" t="s">
        <v>422</v>
      </c>
      <c r="B1" s="2">
        <v>2635.6</v>
      </c>
      <c r="C1" s="2"/>
      <c r="D1" s="2"/>
      <c r="E1" s="2"/>
      <c r="F1" s="2"/>
      <c r="G1" s="2"/>
      <c r="H1" s="2"/>
      <c r="I1" s="2"/>
      <c r="J1" s="2"/>
      <c r="K1" s="2" t="s">
        <v>466</v>
      </c>
      <c r="L1" s="2"/>
      <c r="M1" s="2"/>
      <c r="N1" s="2"/>
      <c r="O1" s="2"/>
      <c r="P1" s="2">
        <v>20835.12</v>
      </c>
    </row>
    <row r="2" spans="1:16" ht="12.75">
      <c r="A2" s="1" t="s">
        <v>421</v>
      </c>
      <c r="B2" s="1">
        <f>PRODUCT(B1,10.65)</f>
        <v>28069.14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2" customFormat="1" ht="12.75">
      <c r="A3" s="2" t="s">
        <v>409</v>
      </c>
      <c r="B3" s="2" t="s">
        <v>410</v>
      </c>
      <c r="C3" s="2" t="s">
        <v>434</v>
      </c>
      <c r="D3" s="2" t="s">
        <v>438</v>
      </c>
      <c r="E3" s="2" t="s">
        <v>437</v>
      </c>
      <c r="F3" s="2" t="s">
        <v>436</v>
      </c>
      <c r="G3" s="2" t="s">
        <v>413</v>
      </c>
      <c r="H3" s="2" t="s">
        <v>414</v>
      </c>
      <c r="I3" s="2" t="s">
        <v>416</v>
      </c>
      <c r="J3" s="2" t="s">
        <v>417</v>
      </c>
      <c r="K3" s="2" t="s">
        <v>423</v>
      </c>
      <c r="L3" s="2" t="s">
        <v>424</v>
      </c>
      <c r="M3" s="2" t="s">
        <v>425</v>
      </c>
      <c r="N3" s="2" t="s">
        <v>426</v>
      </c>
      <c r="O3" s="2" t="s">
        <v>434</v>
      </c>
      <c r="P3" s="2" t="s">
        <v>427</v>
      </c>
    </row>
    <row r="4" spans="1:16" ht="12.75">
      <c r="A4" s="1" t="s">
        <v>411</v>
      </c>
      <c r="B4" s="1">
        <v>1.57</v>
      </c>
      <c r="C4" s="1">
        <f>B4*B1</f>
        <v>4137.892</v>
      </c>
      <c r="D4" s="1">
        <f>B4*B1</f>
        <v>4137.892</v>
      </c>
      <c r="E4" s="1">
        <f>B4*B1</f>
        <v>4137.892</v>
      </c>
      <c r="F4" s="1">
        <f>B4*B1</f>
        <v>4137.892</v>
      </c>
      <c r="G4" s="1">
        <f>B4*B1</f>
        <v>4137.892</v>
      </c>
      <c r="H4" s="1">
        <v>4137.89</v>
      </c>
      <c r="I4" s="1">
        <v>4137.89</v>
      </c>
      <c r="J4" s="1">
        <v>4137.89</v>
      </c>
      <c r="K4" s="1"/>
      <c r="L4" s="1"/>
      <c r="M4" s="1"/>
      <c r="N4" s="1"/>
      <c r="O4" s="1"/>
      <c r="P4" s="1">
        <f>SUM(C4:O4)</f>
        <v>33103.13</v>
      </c>
    </row>
    <row r="5" spans="1:16" ht="12.75">
      <c r="A5" s="1" t="s">
        <v>451</v>
      </c>
      <c r="B5" s="1">
        <v>1.6</v>
      </c>
      <c r="C5" s="1">
        <f>B5*B1</f>
        <v>4216.96</v>
      </c>
      <c r="D5" s="1">
        <f>B5*B1</f>
        <v>4216.96</v>
      </c>
      <c r="E5" s="1">
        <f>B5*B1</f>
        <v>4216.96</v>
      </c>
      <c r="F5" s="1">
        <f>B5*B1</f>
        <v>4216.96</v>
      </c>
      <c r="G5" s="1">
        <f>B5*B1</f>
        <v>4216.96</v>
      </c>
      <c r="H5" s="1">
        <v>4219.96</v>
      </c>
      <c r="I5" s="1">
        <v>4219.96</v>
      </c>
      <c r="J5" s="1">
        <v>4219.96</v>
      </c>
      <c r="K5" s="1"/>
      <c r="L5" s="1"/>
      <c r="M5" s="1"/>
      <c r="N5" s="1"/>
      <c r="O5" s="1"/>
      <c r="P5" s="1">
        <f>SUM(C5:O5)</f>
        <v>33744.68</v>
      </c>
    </row>
    <row r="6" spans="1:16" ht="12.75">
      <c r="A6" s="1" t="s">
        <v>412</v>
      </c>
      <c r="B6" s="1">
        <v>1.6</v>
      </c>
      <c r="C6" s="1">
        <f>B6*B1</f>
        <v>4216.96</v>
      </c>
      <c r="D6" s="1">
        <f>B6*B1</f>
        <v>4216.96</v>
      </c>
      <c r="E6" s="1">
        <f>B6*B1</f>
        <v>4216.96</v>
      </c>
      <c r="F6" s="1">
        <f>B6*B1</f>
        <v>4216.96</v>
      </c>
      <c r="G6" s="1">
        <f>B6*B1</f>
        <v>4216.96</v>
      </c>
      <c r="H6" s="1">
        <v>4219.96</v>
      </c>
      <c r="I6" s="1">
        <v>4219.96</v>
      </c>
      <c r="J6" s="1">
        <v>4219.96</v>
      </c>
      <c r="K6" s="1"/>
      <c r="L6" s="1"/>
      <c r="M6" s="1"/>
      <c r="N6" s="1"/>
      <c r="O6" s="1"/>
      <c r="P6" s="1">
        <f>SUM(C6:O6)</f>
        <v>33744.68</v>
      </c>
    </row>
    <row r="7" spans="1:16" ht="12.75">
      <c r="A7" s="1" t="s">
        <v>491</v>
      </c>
      <c r="B7" s="1">
        <v>0.44</v>
      </c>
      <c r="C7" s="1">
        <v>1159.66</v>
      </c>
      <c r="D7" s="1">
        <v>1159.66</v>
      </c>
      <c r="E7" s="1">
        <v>1159.66</v>
      </c>
      <c r="F7" s="1">
        <v>1159.66</v>
      </c>
      <c r="G7" s="1">
        <v>1159.66</v>
      </c>
      <c r="H7" s="1">
        <v>1159.66</v>
      </c>
      <c r="I7" s="1">
        <v>1159.66</v>
      </c>
      <c r="J7" s="1">
        <v>1159.66</v>
      </c>
      <c r="K7" s="1"/>
      <c r="L7" s="1"/>
      <c r="M7" s="1"/>
      <c r="N7" s="1"/>
      <c r="O7" s="1"/>
      <c r="P7" s="1">
        <f>SUM(C7:O7)</f>
        <v>9277.28</v>
      </c>
    </row>
    <row r="8" spans="1:16" ht="12.75">
      <c r="A8" s="3" t="s">
        <v>435</v>
      </c>
      <c r="B8" s="1"/>
      <c r="C8" s="1">
        <v>3396</v>
      </c>
      <c r="D8" s="1">
        <v>3396</v>
      </c>
      <c r="E8" s="1">
        <v>3396</v>
      </c>
      <c r="F8" s="1">
        <v>3396</v>
      </c>
      <c r="G8" s="1">
        <v>3396</v>
      </c>
      <c r="H8" s="1">
        <v>3396</v>
      </c>
      <c r="I8" s="1">
        <v>3396</v>
      </c>
      <c r="J8" s="1">
        <v>3396</v>
      </c>
      <c r="K8" s="1"/>
      <c r="L8" s="1"/>
      <c r="M8" s="1"/>
      <c r="N8" s="1"/>
      <c r="O8" s="1"/>
      <c r="P8" s="1">
        <f>SUM(C8:O8)</f>
        <v>27168</v>
      </c>
    </row>
    <row r="9" spans="1:16" ht="12.75">
      <c r="A9" s="3" t="s">
        <v>480</v>
      </c>
      <c r="B9" s="1"/>
      <c r="C9" s="1">
        <v>121.24</v>
      </c>
      <c r="D9" s="1">
        <v>121.24</v>
      </c>
      <c r="E9" s="1">
        <v>121.24</v>
      </c>
      <c r="F9" s="1">
        <v>121.24</v>
      </c>
      <c r="G9" s="1">
        <v>121.24</v>
      </c>
      <c r="H9" s="1">
        <v>84.34</v>
      </c>
      <c r="I9" s="1">
        <v>382.16</v>
      </c>
      <c r="J9" s="1">
        <v>382.16</v>
      </c>
      <c r="K9" s="1"/>
      <c r="L9" s="1"/>
      <c r="M9" s="1"/>
      <c r="N9" s="1"/>
      <c r="O9" s="1"/>
      <c r="P9" s="1">
        <f>SUM(D9:O9)</f>
        <v>1333.6200000000001</v>
      </c>
    </row>
    <row r="10" spans="1:16" ht="12.75">
      <c r="A10" s="1" t="s">
        <v>478</v>
      </c>
      <c r="B10" s="1"/>
      <c r="C10" s="1">
        <v>2712</v>
      </c>
      <c r="D10" s="1">
        <v>2712</v>
      </c>
      <c r="E10" s="1">
        <v>2712</v>
      </c>
      <c r="F10" s="1">
        <v>2712</v>
      </c>
      <c r="G10" s="1">
        <v>2712</v>
      </c>
      <c r="H10" s="1">
        <v>2712</v>
      </c>
      <c r="I10" s="1">
        <v>2712</v>
      </c>
      <c r="J10" s="1">
        <v>2712</v>
      </c>
      <c r="K10" s="1"/>
      <c r="L10" s="1"/>
      <c r="M10" s="1"/>
      <c r="N10" s="1"/>
      <c r="O10" s="1"/>
      <c r="P10" s="1">
        <f>SUM(C10:O10)</f>
        <v>21696</v>
      </c>
    </row>
    <row r="11" spans="1:16" ht="12.75">
      <c r="A11" s="3" t="s">
        <v>253</v>
      </c>
      <c r="B11" s="1"/>
      <c r="C11" s="1">
        <v>2712</v>
      </c>
      <c r="D11" s="1">
        <v>2712</v>
      </c>
      <c r="E11" s="1">
        <v>2712</v>
      </c>
      <c r="F11" s="1">
        <v>2712</v>
      </c>
      <c r="G11" s="1">
        <v>2712</v>
      </c>
      <c r="H11" s="1">
        <v>2712</v>
      </c>
      <c r="I11" s="1">
        <v>2712</v>
      </c>
      <c r="J11" s="1">
        <v>2712</v>
      </c>
      <c r="K11" s="1"/>
      <c r="L11" s="1"/>
      <c r="M11" s="1"/>
      <c r="N11" s="1"/>
      <c r="O11" s="1"/>
      <c r="P11" s="1">
        <f>SUM(C11:O11)</f>
        <v>21696</v>
      </c>
    </row>
    <row r="12" spans="1:16" ht="12.75">
      <c r="A12" s="3" t="s">
        <v>263</v>
      </c>
      <c r="B12" s="1"/>
      <c r="C12" s="1">
        <v>500</v>
      </c>
      <c r="D12" s="1">
        <v>500</v>
      </c>
      <c r="E12" s="1">
        <v>500</v>
      </c>
      <c r="F12" s="1">
        <v>500</v>
      </c>
      <c r="G12" s="1">
        <v>0</v>
      </c>
      <c r="H12" s="1"/>
      <c r="I12" s="1"/>
      <c r="J12" s="1"/>
      <c r="K12" s="1"/>
      <c r="L12" s="1"/>
      <c r="M12" s="1"/>
      <c r="N12" s="1"/>
      <c r="O12" s="1"/>
      <c r="P12" s="1">
        <f>SUM(C12:O12)</f>
        <v>2000</v>
      </c>
    </row>
    <row r="13" spans="1:16" ht="14.25" customHeight="1">
      <c r="A13" s="3" t="s">
        <v>498</v>
      </c>
      <c r="B13" s="1">
        <v>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 aca="true" t="shared" si="0" ref="P13:P51">SUM(C13:O13)</f>
        <v>0</v>
      </c>
    </row>
    <row r="14" spans="1:16" ht="12.75">
      <c r="A14" s="1" t="s">
        <v>506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si="0"/>
        <v>0</v>
      </c>
    </row>
    <row r="15" spans="1:16" ht="12.75">
      <c r="A15" s="1" t="s">
        <v>517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f t="shared" si="0"/>
        <v>0</v>
      </c>
    </row>
    <row r="16" spans="1:16" ht="22.5">
      <c r="A16" s="3" t="s">
        <v>531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f t="shared" si="0"/>
        <v>0</v>
      </c>
    </row>
    <row r="17" spans="1:16" ht="12.75">
      <c r="A17" s="3" t="s">
        <v>226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si="0"/>
        <v>0</v>
      </c>
    </row>
    <row r="18" spans="1:16" ht="12.75">
      <c r="A18" s="3" t="s">
        <v>300</v>
      </c>
      <c r="B18" s="1"/>
      <c r="C18" s="1"/>
      <c r="D18" s="1"/>
      <c r="E18" s="1"/>
      <c r="F18" s="1">
        <v>76</v>
      </c>
      <c r="G18" s="1"/>
      <c r="H18" s="1"/>
      <c r="I18" s="1"/>
      <c r="J18" s="1"/>
      <c r="K18" s="1"/>
      <c r="L18" s="1"/>
      <c r="M18" s="1"/>
      <c r="N18" s="1"/>
      <c r="O18" s="1"/>
      <c r="P18" s="1">
        <f t="shared" si="0"/>
        <v>76</v>
      </c>
    </row>
    <row r="19" spans="1:16" ht="12.75">
      <c r="A19" s="3" t="s">
        <v>665</v>
      </c>
      <c r="B19" s="1"/>
      <c r="C19" s="1"/>
      <c r="D19" s="1"/>
      <c r="E19" s="1"/>
      <c r="F19" s="1">
        <v>28100</v>
      </c>
      <c r="G19" s="1"/>
      <c r="H19" s="1"/>
      <c r="I19" s="1"/>
      <c r="J19" s="1"/>
      <c r="K19" s="1"/>
      <c r="L19" s="1"/>
      <c r="M19" s="1"/>
      <c r="N19" s="1"/>
      <c r="O19" s="1"/>
      <c r="P19" s="1">
        <f t="shared" si="0"/>
        <v>28100</v>
      </c>
    </row>
    <row r="20" spans="1:16" ht="22.5">
      <c r="A20" s="3" t="s">
        <v>545</v>
      </c>
      <c r="B20" s="1"/>
      <c r="C20" s="1"/>
      <c r="D20" s="1"/>
      <c r="E20" s="1">
        <v>367.08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 t="shared" si="0"/>
        <v>367.08</v>
      </c>
    </row>
    <row r="21" spans="1:16" ht="12.75">
      <c r="A21" s="3" t="s">
        <v>471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f t="shared" si="0"/>
        <v>0</v>
      </c>
    </row>
    <row r="22" spans="1:16" ht="15" customHeight="1">
      <c r="A22" s="3" t="s">
        <v>532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f t="shared" si="0"/>
        <v>0</v>
      </c>
    </row>
    <row r="23" spans="1:16" ht="12.75">
      <c r="A23" s="1" t="s">
        <v>499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>
        <f t="shared" si="0"/>
        <v>0</v>
      </c>
    </row>
    <row r="24" spans="1:16" ht="12.75">
      <c r="A24" s="1" t="s">
        <v>519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f t="shared" si="0"/>
        <v>0</v>
      </c>
    </row>
    <row r="25" spans="1:16" ht="12.75">
      <c r="A25" s="3" t="s">
        <v>492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>
        <f t="shared" si="0"/>
        <v>0</v>
      </c>
    </row>
    <row r="26" spans="1:16" ht="12.75">
      <c r="A26" s="3" t="s">
        <v>493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>
        <f t="shared" si="0"/>
        <v>0</v>
      </c>
    </row>
    <row r="27" spans="1:16" ht="12.75">
      <c r="A27" s="3" t="s">
        <v>7</v>
      </c>
      <c r="B27" s="1"/>
      <c r="C27" s="1"/>
      <c r="D27" s="1"/>
      <c r="E27" s="1"/>
      <c r="F27" s="1"/>
      <c r="G27" s="1"/>
      <c r="H27" s="1"/>
      <c r="I27" s="1">
        <v>29036.32</v>
      </c>
      <c r="J27" s="1"/>
      <c r="K27" s="1"/>
      <c r="L27" s="1"/>
      <c r="M27" s="1"/>
      <c r="N27" s="1"/>
      <c r="O27" s="1"/>
      <c r="P27" s="1">
        <v>29036.36</v>
      </c>
    </row>
    <row r="28" spans="1:16" ht="12.75">
      <c r="A28" s="3" t="s">
        <v>115</v>
      </c>
      <c r="B28" s="1"/>
      <c r="C28" s="1"/>
      <c r="D28" s="1">
        <v>828.32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>
        <f t="shared" si="0"/>
        <v>828.32</v>
      </c>
    </row>
    <row r="29" spans="1:16" ht="12.75">
      <c r="A29" s="3" t="s">
        <v>25</v>
      </c>
      <c r="B29" s="1"/>
      <c r="C29" s="1"/>
      <c r="D29" s="1"/>
      <c r="E29" s="1"/>
      <c r="F29" s="1"/>
      <c r="G29" s="1"/>
      <c r="H29" s="1"/>
      <c r="I29" s="1"/>
      <c r="J29" s="1">
        <v>4441.11</v>
      </c>
      <c r="K29" s="1"/>
      <c r="L29" s="1"/>
      <c r="M29" s="1"/>
      <c r="N29" s="1"/>
      <c r="O29" s="1"/>
      <c r="P29" s="1">
        <v>4441.11</v>
      </c>
    </row>
    <row r="30" spans="1:16" ht="22.5">
      <c r="A30" s="3" t="s">
        <v>51</v>
      </c>
      <c r="B30" s="1"/>
      <c r="C30" s="1"/>
      <c r="D30" s="1"/>
      <c r="E30" s="1"/>
      <c r="F30" s="1"/>
      <c r="G30" s="1"/>
      <c r="H30" s="1"/>
      <c r="I30" s="1"/>
      <c r="J30" s="1">
        <v>4166.88</v>
      </c>
      <c r="K30" s="1"/>
      <c r="L30" s="1"/>
      <c r="M30" s="1"/>
      <c r="N30" s="1"/>
      <c r="O30" s="1"/>
      <c r="P30" s="1">
        <v>4166.88</v>
      </c>
    </row>
    <row r="31" spans="1:16" ht="22.5">
      <c r="A31" s="3" t="s">
        <v>116</v>
      </c>
      <c r="B31" s="1"/>
      <c r="C31" s="1"/>
      <c r="D31" s="1">
        <v>828.32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>
        <f t="shared" si="0"/>
        <v>828.32</v>
      </c>
    </row>
    <row r="32" spans="1:16" ht="22.5">
      <c r="A32" s="3" t="s">
        <v>550</v>
      </c>
      <c r="B32" s="1"/>
      <c r="C32" s="1"/>
      <c r="D32" s="1"/>
      <c r="E32" s="1">
        <v>11157.8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>
        <f t="shared" si="0"/>
        <v>11157.8</v>
      </c>
    </row>
    <row r="33" spans="1:16" ht="21" customHeight="1">
      <c r="A33" s="3" t="s">
        <v>551</v>
      </c>
      <c r="B33" s="1"/>
      <c r="C33" s="1"/>
      <c r="D33" s="1">
        <v>2606.96</v>
      </c>
      <c r="E33" s="1"/>
      <c r="F33" s="1"/>
      <c r="G33" s="1">
        <v>16129.18</v>
      </c>
      <c r="H33" s="1"/>
      <c r="I33" s="1"/>
      <c r="J33" s="1"/>
      <c r="K33" s="1"/>
      <c r="L33" s="1"/>
      <c r="M33" s="1"/>
      <c r="N33" s="1"/>
      <c r="O33" s="1"/>
      <c r="P33" s="1">
        <f t="shared" si="0"/>
        <v>18736.14</v>
      </c>
    </row>
    <row r="34" spans="1:16" ht="12.75">
      <c r="A34" s="3" t="s">
        <v>497</v>
      </c>
      <c r="B34" s="1"/>
      <c r="C34" s="1"/>
      <c r="D34" s="1"/>
      <c r="E34" s="1"/>
      <c r="F34" s="1"/>
      <c r="G34" s="1"/>
      <c r="H34" s="1"/>
      <c r="I34" s="1">
        <v>16944</v>
      </c>
      <c r="J34" s="1"/>
      <c r="K34" s="1"/>
      <c r="L34" s="1"/>
      <c r="M34" s="1"/>
      <c r="N34" s="1"/>
      <c r="O34" s="1"/>
      <c r="P34" s="1">
        <f t="shared" si="0"/>
        <v>16944</v>
      </c>
    </row>
    <row r="35" spans="1:16" ht="12.75">
      <c r="A35" s="3" t="s">
        <v>494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>
        <f t="shared" si="0"/>
        <v>0</v>
      </c>
    </row>
    <row r="36" spans="1:16" ht="12.75">
      <c r="A36" s="3" t="s">
        <v>117</v>
      </c>
      <c r="B36" s="1"/>
      <c r="C36" s="1"/>
      <c r="D36" s="1">
        <v>2548.64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>
        <f t="shared" si="0"/>
        <v>2548.64</v>
      </c>
    </row>
    <row r="37" spans="1:16" ht="12.75">
      <c r="A37" s="3" t="s">
        <v>118</v>
      </c>
      <c r="B37" s="1"/>
      <c r="C37" s="1"/>
      <c r="D37" s="1">
        <v>414.16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>
        <f t="shared" si="0"/>
        <v>414.16</v>
      </c>
    </row>
    <row r="38" spans="1:16" ht="12.75">
      <c r="A38" s="3" t="s">
        <v>119</v>
      </c>
      <c r="B38" s="1"/>
      <c r="C38" s="1"/>
      <c r="D38" s="1">
        <v>1552.48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>
        <f t="shared" si="0"/>
        <v>1552.48</v>
      </c>
    </row>
    <row r="39" spans="1:16" ht="12.75">
      <c r="A39" s="3" t="s">
        <v>120</v>
      </c>
      <c r="B39" s="1"/>
      <c r="C39" s="1"/>
      <c r="D39" s="1">
        <v>1601.95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>
        <f t="shared" si="0"/>
        <v>1601.95</v>
      </c>
    </row>
    <row r="40" spans="1:16" ht="12.75">
      <c r="A40" s="3" t="s">
        <v>121</v>
      </c>
      <c r="B40" s="1"/>
      <c r="C40" s="1">
        <v>637.24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>
        <f t="shared" si="0"/>
        <v>637.24</v>
      </c>
    </row>
    <row r="41" spans="1:16" ht="22.5">
      <c r="A41" s="3" t="s">
        <v>122</v>
      </c>
      <c r="B41" s="1"/>
      <c r="C41" s="1">
        <v>978.32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>
        <f t="shared" si="0"/>
        <v>978.32</v>
      </c>
    </row>
    <row r="42" spans="1:16" ht="26.25" customHeight="1">
      <c r="A42" s="3" t="s">
        <v>123</v>
      </c>
      <c r="B42" s="1"/>
      <c r="C42" s="1">
        <v>328.54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>
        <f t="shared" si="0"/>
        <v>328.54</v>
      </c>
    </row>
    <row r="43" spans="1:16" ht="24" customHeight="1">
      <c r="A43" s="3" t="s">
        <v>124</v>
      </c>
      <c r="B43" s="1"/>
      <c r="C43" s="1">
        <v>65800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>
        <f t="shared" si="0"/>
        <v>65800</v>
      </c>
    </row>
    <row r="44" spans="1:16" ht="12.75">
      <c r="A44" s="3" t="s">
        <v>115</v>
      </c>
      <c r="B44" s="1"/>
      <c r="C44" s="1"/>
      <c r="D44" s="1"/>
      <c r="E44" s="1"/>
      <c r="F44" s="1">
        <v>3021.32</v>
      </c>
      <c r="G44" s="1"/>
      <c r="H44" s="1"/>
      <c r="I44" s="1"/>
      <c r="J44" s="1"/>
      <c r="K44" s="1"/>
      <c r="L44" s="1"/>
      <c r="M44" s="1"/>
      <c r="N44" s="1"/>
      <c r="O44" s="1"/>
      <c r="P44" s="1">
        <f>SUM(C44:O44)</f>
        <v>3021.32</v>
      </c>
    </row>
    <row r="45" spans="1:16" ht="12.7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>
        <f t="shared" si="0"/>
        <v>0</v>
      </c>
    </row>
    <row r="46" spans="1:16" ht="12.75">
      <c r="A46" s="3" t="s">
        <v>546</v>
      </c>
      <c r="B46" s="1"/>
      <c r="C46" s="1"/>
      <c r="D46" s="1"/>
      <c r="E46" s="1">
        <v>207.08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>
        <f t="shared" si="0"/>
        <v>207.08</v>
      </c>
    </row>
    <row r="47" spans="1:16" ht="12.75">
      <c r="A47" s="3" t="s">
        <v>547</v>
      </c>
      <c r="B47" s="1"/>
      <c r="C47" s="1"/>
      <c r="D47" s="1"/>
      <c r="E47" s="1">
        <v>848.74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>
        <f t="shared" si="0"/>
        <v>848.74</v>
      </c>
    </row>
    <row r="48" spans="1:16" ht="12.75">
      <c r="A48" s="3" t="s">
        <v>632</v>
      </c>
      <c r="B48" s="1"/>
      <c r="C48" s="1"/>
      <c r="D48" s="1"/>
      <c r="E48" s="1">
        <v>207.08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>
        <v>207.08</v>
      </c>
    </row>
    <row r="49" spans="1:16" ht="12.75">
      <c r="A49" s="3" t="s">
        <v>702</v>
      </c>
      <c r="B49" s="1"/>
      <c r="C49" s="1"/>
      <c r="D49" s="1"/>
      <c r="E49" s="1"/>
      <c r="F49" s="1">
        <v>828.32</v>
      </c>
      <c r="G49" s="1"/>
      <c r="H49" s="1"/>
      <c r="I49" s="1"/>
      <c r="J49" s="1"/>
      <c r="K49" s="1"/>
      <c r="L49" s="1"/>
      <c r="M49" s="1"/>
      <c r="N49" s="1"/>
      <c r="O49" s="1"/>
      <c r="P49" s="1">
        <v>828.32</v>
      </c>
    </row>
    <row r="50" spans="1:16" ht="12.75">
      <c r="A50" s="3" t="s">
        <v>548</v>
      </c>
      <c r="B50" s="1"/>
      <c r="C50" s="1"/>
      <c r="D50" s="1"/>
      <c r="E50" s="1">
        <v>2003.64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>
        <f t="shared" si="0"/>
        <v>2003.64</v>
      </c>
    </row>
    <row r="51" spans="1:16" ht="22.5">
      <c r="A51" s="3" t="s">
        <v>549</v>
      </c>
      <c r="B51" s="1"/>
      <c r="C51" s="1"/>
      <c r="D51" s="1"/>
      <c r="E51" s="1">
        <v>103.54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>
        <f t="shared" si="0"/>
        <v>103.54</v>
      </c>
    </row>
    <row r="52" spans="1:16" ht="12.75">
      <c r="A52" s="3" t="s">
        <v>528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>
        <f>SUM(C52:O52)</f>
        <v>0</v>
      </c>
    </row>
    <row r="53" spans="1:16" ht="12.75">
      <c r="A53" s="1" t="s">
        <v>415</v>
      </c>
      <c r="B53" s="1"/>
      <c r="C53" s="1">
        <f aca="true" t="shared" si="1" ref="C53:J53">SUM(C4:C44)</f>
        <v>90916.812</v>
      </c>
      <c r="D53" s="1">
        <f t="shared" si="1"/>
        <v>33553.541999999994</v>
      </c>
      <c r="E53" s="1">
        <f t="shared" si="1"/>
        <v>34697.592000000004</v>
      </c>
      <c r="F53" s="1">
        <f t="shared" si="1"/>
        <v>54370.032</v>
      </c>
      <c r="G53" s="1">
        <f t="shared" si="1"/>
        <v>38801.892</v>
      </c>
      <c r="H53" s="1">
        <f t="shared" si="1"/>
        <v>22641.81</v>
      </c>
      <c r="I53" s="1">
        <f t="shared" si="1"/>
        <v>68919.95</v>
      </c>
      <c r="J53" s="1">
        <f t="shared" si="1"/>
        <v>31547.620000000003</v>
      </c>
      <c r="K53" s="1">
        <f>SUM(K4:K52)</f>
        <v>0</v>
      </c>
      <c r="L53" s="1">
        <f>SUM(L4:L44)</f>
        <v>0</v>
      </c>
      <c r="M53" s="1">
        <f>SUM(M4:M44)</f>
        <v>0</v>
      </c>
      <c r="N53" s="1">
        <f>SUM(N4:N44)</f>
        <v>0</v>
      </c>
      <c r="O53" s="1">
        <f>SUM(O4:O44)</f>
        <v>0</v>
      </c>
      <c r="P53" s="1">
        <f>SUM(P4:P52)</f>
        <v>379526.44999999995</v>
      </c>
    </row>
    <row r="54" spans="1:16" ht="12.75">
      <c r="A54" s="1" t="s">
        <v>419</v>
      </c>
      <c r="B54" s="1"/>
      <c r="C54" s="1">
        <v>15909.6</v>
      </c>
      <c r="D54" s="1">
        <v>35035.6</v>
      </c>
      <c r="E54" s="1">
        <v>40671.97</v>
      </c>
      <c r="F54" s="1">
        <v>36559.69</v>
      </c>
      <c r="G54" s="1">
        <f>37380.6+54434.1</f>
        <v>91814.7</v>
      </c>
      <c r="H54" s="1">
        <v>28737.09</v>
      </c>
      <c r="I54" s="1">
        <v>39264.41</v>
      </c>
      <c r="J54" s="1">
        <v>32186.82</v>
      </c>
      <c r="K54" s="1"/>
      <c r="L54" s="1"/>
      <c r="M54" s="1"/>
      <c r="N54" s="1"/>
      <c r="O54" s="1"/>
      <c r="P54" s="1">
        <f>SUM(C54:O54)</f>
        <v>320179.88</v>
      </c>
    </row>
    <row r="55" spans="1:16" ht="12.75">
      <c r="A55" s="1" t="s">
        <v>488</v>
      </c>
      <c r="B55" s="1"/>
      <c r="C55" s="1"/>
      <c r="D55" s="1"/>
      <c r="E55" s="1"/>
      <c r="F55" s="1">
        <v>19670.42</v>
      </c>
      <c r="G55" s="1"/>
      <c r="H55" s="1">
        <v>22281.48</v>
      </c>
      <c r="I55" s="1"/>
      <c r="J55" s="1">
        <v>32660.46</v>
      </c>
      <c r="K55" s="1"/>
      <c r="L55" s="1"/>
      <c r="M55" s="1"/>
      <c r="N55" s="1"/>
      <c r="O55" s="1"/>
      <c r="P55" s="1">
        <f>SUM(D55:O55)</f>
        <v>74612.35999999999</v>
      </c>
    </row>
    <row r="56" spans="1:16" s="12" customFormat="1" ht="12.75">
      <c r="A56" s="2" t="s">
        <v>420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>
        <f>SUM(P54+P55+P1+P57+P58-P53)</f>
        <v>43047.41000000003</v>
      </c>
    </row>
    <row r="57" spans="1:16" s="12" customFormat="1" ht="12.75">
      <c r="A57" s="2" t="s">
        <v>603</v>
      </c>
      <c r="B57" s="15"/>
      <c r="C57" s="16"/>
      <c r="D57" s="16"/>
      <c r="E57" s="16"/>
      <c r="F57" s="17">
        <v>378</v>
      </c>
      <c r="G57" s="2"/>
      <c r="H57" s="2">
        <v>400</v>
      </c>
      <c r="I57" s="2"/>
      <c r="J57" s="2">
        <v>240</v>
      </c>
      <c r="K57" s="2"/>
      <c r="L57" s="2"/>
      <c r="M57" s="2"/>
      <c r="N57" s="2"/>
      <c r="O57" s="2"/>
      <c r="P57" s="2">
        <f>SUM(F57:O57)</f>
        <v>1018</v>
      </c>
    </row>
    <row r="58" spans="1:16" s="12" customFormat="1" ht="12.75">
      <c r="A58" s="2" t="s">
        <v>527</v>
      </c>
      <c r="B58" s="15"/>
      <c r="C58" s="16"/>
      <c r="D58" s="16"/>
      <c r="E58" s="16"/>
      <c r="F58" s="17">
        <v>3675</v>
      </c>
      <c r="G58" s="2">
        <v>1513.5</v>
      </c>
      <c r="H58" s="2">
        <v>600</v>
      </c>
      <c r="I58" s="2"/>
      <c r="J58" s="2">
        <v>140</v>
      </c>
      <c r="K58" s="2"/>
      <c r="L58" s="2"/>
      <c r="M58" s="2"/>
      <c r="N58" s="2"/>
      <c r="O58" s="2"/>
      <c r="P58" s="2">
        <f>SUM(E58:O58)</f>
        <v>5928.5</v>
      </c>
    </row>
    <row r="59" spans="1:16" ht="12.75">
      <c r="A59" s="1"/>
      <c r="B59" s="62" t="s">
        <v>481</v>
      </c>
      <c r="C59" s="63"/>
      <c r="D59" s="63"/>
      <c r="E59" s="63"/>
      <c r="F59" s="64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3" ht="12.75">
      <c r="G63" s="14" t="s">
        <v>428</v>
      </c>
    </row>
  </sheetData>
  <mergeCells count="1">
    <mergeCell ref="B59:F59"/>
  </mergeCells>
  <printOptions/>
  <pageMargins left="0.75" right="0.75" top="1" bottom="1" header="0.5" footer="0.5"/>
  <pageSetup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pane xSplit="5" ySplit="16" topLeftCell="F35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P16" sqref="P16"/>
    </sheetView>
  </sheetViews>
  <sheetFormatPr defaultColWidth="9.00390625" defaultRowHeight="12.75"/>
  <cols>
    <col min="1" max="1" width="34.375" style="14" customWidth="1"/>
    <col min="2" max="2" width="14.25390625" style="14" customWidth="1"/>
    <col min="3" max="3" width="7.25390625" style="14" customWidth="1"/>
    <col min="4" max="4" width="8.75390625" style="14" customWidth="1"/>
    <col min="5" max="5" width="7.375" style="14" bestFit="1" customWidth="1"/>
    <col min="6" max="6" width="7.25390625" style="14" customWidth="1"/>
    <col min="7" max="7" width="8.375" style="14" customWidth="1"/>
    <col min="8" max="8" width="9.125" style="14" customWidth="1"/>
    <col min="9" max="9" width="9.875" style="14" customWidth="1"/>
    <col min="10" max="16384" width="9.125" style="14" customWidth="1"/>
  </cols>
  <sheetData>
    <row r="1" spans="1:16" s="12" customFormat="1" ht="12.75">
      <c r="A1" s="2" t="s">
        <v>422</v>
      </c>
      <c r="B1" s="2">
        <v>2170.9</v>
      </c>
      <c r="C1" s="2"/>
      <c r="D1" s="2"/>
      <c r="E1" s="2"/>
      <c r="F1" s="2"/>
      <c r="G1" s="2"/>
      <c r="H1" s="2"/>
      <c r="I1" s="2"/>
      <c r="J1" s="2"/>
      <c r="K1" s="2" t="s">
        <v>430</v>
      </c>
      <c r="L1" s="2"/>
      <c r="M1" s="2" t="s">
        <v>601</v>
      </c>
      <c r="N1" s="2"/>
      <c r="O1" s="2"/>
      <c r="P1" s="2">
        <v>63279.51</v>
      </c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2" customFormat="1" ht="12.75">
      <c r="A3" s="2" t="s">
        <v>409</v>
      </c>
      <c r="B3" s="2" t="s">
        <v>410</v>
      </c>
      <c r="C3" s="2" t="s">
        <v>434</v>
      </c>
      <c r="D3" s="2" t="s">
        <v>438</v>
      </c>
      <c r="E3" s="2" t="s">
        <v>437</v>
      </c>
      <c r="F3" s="2" t="s">
        <v>436</v>
      </c>
      <c r="G3" s="2" t="s">
        <v>413</v>
      </c>
      <c r="H3" s="2" t="s">
        <v>414</v>
      </c>
      <c r="I3" s="2" t="s">
        <v>416</v>
      </c>
      <c r="J3" s="2" t="s">
        <v>417</v>
      </c>
      <c r="K3" s="2" t="s">
        <v>423</v>
      </c>
      <c r="L3" s="2" t="s">
        <v>424</v>
      </c>
      <c r="M3" s="2" t="s">
        <v>425</v>
      </c>
      <c r="N3" s="2" t="s">
        <v>426</v>
      </c>
      <c r="O3" s="2" t="s">
        <v>434</v>
      </c>
      <c r="P3" s="2" t="s">
        <v>427</v>
      </c>
    </row>
    <row r="4" spans="1:16" ht="12.75">
      <c r="A4" s="1" t="s">
        <v>411</v>
      </c>
      <c r="B4" s="1">
        <v>1.57</v>
      </c>
      <c r="C4" s="1">
        <f>B4*B1</f>
        <v>3408.313</v>
      </c>
      <c r="D4" s="1">
        <f>B4*B1</f>
        <v>3408.313</v>
      </c>
      <c r="E4" s="1">
        <f>B4*B1</f>
        <v>3408.313</v>
      </c>
      <c r="F4" s="1">
        <f>B4*B1</f>
        <v>3408.313</v>
      </c>
      <c r="G4" s="1">
        <f>B4*B1</f>
        <v>3408.313</v>
      </c>
      <c r="H4" s="1">
        <v>3408.31</v>
      </c>
      <c r="I4" s="1">
        <v>3408.31</v>
      </c>
      <c r="J4" s="1">
        <v>3408.31</v>
      </c>
      <c r="K4" s="1"/>
      <c r="L4" s="1"/>
      <c r="M4" s="1"/>
      <c r="N4" s="1"/>
      <c r="O4" s="1"/>
      <c r="P4" s="1">
        <f aca="true" t="shared" si="0" ref="P4:P14">SUM(C4:O4)</f>
        <v>27266.495000000006</v>
      </c>
    </row>
    <row r="5" spans="1:16" ht="12.75">
      <c r="A5" s="1" t="s">
        <v>452</v>
      </c>
      <c r="B5" s="1">
        <v>1.6</v>
      </c>
      <c r="C5" s="1">
        <f>B5*B1</f>
        <v>3473.4400000000005</v>
      </c>
      <c r="D5" s="1">
        <f>B5*B1</f>
        <v>3473.4400000000005</v>
      </c>
      <c r="E5" s="1">
        <f>B5*B1</f>
        <v>3473.4400000000005</v>
      </c>
      <c r="F5" s="1">
        <f>B5*B1</f>
        <v>3473.4400000000005</v>
      </c>
      <c r="G5" s="1">
        <f>B5*B1</f>
        <v>3473.4400000000005</v>
      </c>
      <c r="H5" s="1">
        <v>3473.44</v>
      </c>
      <c r="I5" s="1">
        <v>3473.44</v>
      </c>
      <c r="J5" s="1">
        <v>3473.44</v>
      </c>
      <c r="K5" s="1"/>
      <c r="L5" s="1"/>
      <c r="M5" s="1"/>
      <c r="N5" s="1"/>
      <c r="O5" s="1"/>
      <c r="P5" s="1">
        <f t="shared" si="0"/>
        <v>27787.52</v>
      </c>
    </row>
    <row r="6" spans="1:16" ht="12.75">
      <c r="A6" s="1" t="s">
        <v>412</v>
      </c>
      <c r="B6" s="1">
        <v>1.6</v>
      </c>
      <c r="C6" s="1">
        <f>B6*B1</f>
        <v>3473.4400000000005</v>
      </c>
      <c r="D6" s="1">
        <f>B6*B1</f>
        <v>3473.4400000000005</v>
      </c>
      <c r="E6" s="1">
        <f>B6*B1</f>
        <v>3473.4400000000005</v>
      </c>
      <c r="F6" s="1">
        <f>B6*B1</f>
        <v>3473.4400000000005</v>
      </c>
      <c r="G6" s="1">
        <f>B6*B1</f>
        <v>3473.4400000000005</v>
      </c>
      <c r="H6" s="1">
        <v>3473.44</v>
      </c>
      <c r="I6" s="1">
        <v>3473.44</v>
      </c>
      <c r="J6" s="1">
        <v>3473.44</v>
      </c>
      <c r="K6" s="1"/>
      <c r="L6" s="1"/>
      <c r="M6" s="1"/>
      <c r="N6" s="1"/>
      <c r="O6" s="1"/>
      <c r="P6" s="1">
        <f t="shared" si="0"/>
        <v>27787.52</v>
      </c>
    </row>
    <row r="7" spans="1:16" ht="12.75">
      <c r="A7" s="1" t="s">
        <v>491</v>
      </c>
      <c r="B7" s="1">
        <v>0.44</v>
      </c>
      <c r="C7" s="1">
        <f>B7*B1</f>
        <v>955.196</v>
      </c>
      <c r="D7" s="1">
        <f>B7*B1</f>
        <v>955.196</v>
      </c>
      <c r="E7" s="1">
        <f>B7*B1</f>
        <v>955.196</v>
      </c>
      <c r="F7" s="1">
        <f>B7*B1</f>
        <v>955.196</v>
      </c>
      <c r="G7" s="1">
        <f>B7*B1</f>
        <v>955.196</v>
      </c>
      <c r="H7" s="1">
        <v>955.2</v>
      </c>
      <c r="I7" s="1">
        <v>955.2</v>
      </c>
      <c r="J7" s="1">
        <v>955.2</v>
      </c>
      <c r="K7" s="1"/>
      <c r="L7" s="1"/>
      <c r="M7" s="1"/>
      <c r="N7" s="1"/>
      <c r="O7" s="1"/>
      <c r="P7" s="1">
        <f t="shared" si="0"/>
        <v>7641.58</v>
      </c>
    </row>
    <row r="8" spans="1:16" ht="12.75">
      <c r="A8" s="1" t="s">
        <v>435</v>
      </c>
      <c r="B8" s="1">
        <v>0.66</v>
      </c>
      <c r="C8" s="1">
        <f>B8*B1</f>
        <v>1432.794</v>
      </c>
      <c r="D8" s="1">
        <f>B8*B1</f>
        <v>1432.794</v>
      </c>
      <c r="E8" s="1">
        <f>B8*B1</f>
        <v>1432.794</v>
      </c>
      <c r="F8" s="1">
        <f>B8*B1</f>
        <v>1432.794</v>
      </c>
      <c r="G8" s="1">
        <f>B8*B1</f>
        <v>1432.794</v>
      </c>
      <c r="H8" s="1">
        <v>1432.79</v>
      </c>
      <c r="I8" s="1">
        <v>1432.79</v>
      </c>
      <c r="J8" s="1">
        <v>1432.79</v>
      </c>
      <c r="K8" s="1"/>
      <c r="L8" s="1"/>
      <c r="M8" s="1"/>
      <c r="N8" s="1"/>
      <c r="O8" s="1"/>
      <c r="P8" s="1">
        <f t="shared" si="0"/>
        <v>11462.34</v>
      </c>
    </row>
    <row r="9" spans="1:16" ht="12.75">
      <c r="A9" s="1" t="s">
        <v>278</v>
      </c>
      <c r="B9" s="1"/>
      <c r="C9" s="1">
        <v>500</v>
      </c>
      <c r="D9" s="1">
        <v>500</v>
      </c>
      <c r="E9" s="1">
        <v>500</v>
      </c>
      <c r="F9" s="1">
        <v>500</v>
      </c>
      <c r="G9" s="1">
        <v>500</v>
      </c>
      <c r="H9" s="1">
        <v>500</v>
      </c>
      <c r="I9" s="1">
        <v>500</v>
      </c>
      <c r="J9" s="1">
        <v>500</v>
      </c>
      <c r="K9" s="1"/>
      <c r="L9" s="1"/>
      <c r="M9" s="1"/>
      <c r="N9" s="1"/>
      <c r="O9" s="1"/>
      <c r="P9" s="1">
        <f>SUM(C9:O9)</f>
        <v>4000</v>
      </c>
    </row>
    <row r="10" spans="1:16" ht="12.75">
      <c r="A10" s="3" t="s">
        <v>480</v>
      </c>
      <c r="B10" s="1"/>
      <c r="C10" s="1">
        <v>99.86</v>
      </c>
      <c r="D10" s="1">
        <v>99.86</v>
      </c>
      <c r="E10" s="1">
        <v>99.86</v>
      </c>
      <c r="F10" s="1">
        <v>99.86</v>
      </c>
      <c r="G10" s="1">
        <v>99.86</v>
      </c>
      <c r="H10" s="1">
        <v>69.47</v>
      </c>
      <c r="I10" s="1">
        <v>314.78</v>
      </c>
      <c r="J10" s="1">
        <v>314.78</v>
      </c>
      <c r="K10" s="1"/>
      <c r="L10" s="1"/>
      <c r="M10" s="1"/>
      <c r="N10" s="1"/>
      <c r="O10" s="1"/>
      <c r="P10" s="1">
        <f>SUM(F10:O10)</f>
        <v>898.75</v>
      </c>
    </row>
    <row r="11" spans="1:16" ht="12.75">
      <c r="A11" s="3" t="s">
        <v>520</v>
      </c>
      <c r="B11" s="1"/>
      <c r="C11" s="1">
        <v>2712</v>
      </c>
      <c r="D11" s="1">
        <v>2712</v>
      </c>
      <c r="E11" s="1">
        <v>2712</v>
      </c>
      <c r="F11" s="1">
        <v>2712</v>
      </c>
      <c r="G11" s="1">
        <v>2712</v>
      </c>
      <c r="H11" s="1">
        <v>2712</v>
      </c>
      <c r="I11" s="1">
        <v>2712</v>
      </c>
      <c r="J11" s="1">
        <v>2712</v>
      </c>
      <c r="K11" s="1"/>
      <c r="L11" s="1"/>
      <c r="M11" s="1"/>
      <c r="N11" s="1"/>
      <c r="O11" s="1"/>
      <c r="P11" s="1">
        <f>SUM(C11:O11)</f>
        <v>21696</v>
      </c>
    </row>
    <row r="12" spans="1:16" ht="12.75">
      <c r="A12" s="3" t="s">
        <v>253</v>
      </c>
      <c r="B12" s="1"/>
      <c r="C12" s="1">
        <v>2712</v>
      </c>
      <c r="D12" s="1">
        <v>2712</v>
      </c>
      <c r="E12" s="1">
        <v>2712</v>
      </c>
      <c r="F12" s="1">
        <v>2712</v>
      </c>
      <c r="G12" s="1">
        <v>2712</v>
      </c>
      <c r="H12" s="1">
        <v>2712</v>
      </c>
      <c r="I12" s="1">
        <v>2712</v>
      </c>
      <c r="J12" s="1">
        <v>2712</v>
      </c>
      <c r="K12" s="1"/>
      <c r="L12" s="1"/>
      <c r="M12" s="1"/>
      <c r="N12" s="1"/>
      <c r="O12" s="1"/>
      <c r="P12" s="1">
        <f>SUM(C12:O12)</f>
        <v>21696</v>
      </c>
    </row>
    <row r="13" spans="1:16" ht="12.75">
      <c r="A13" s="1" t="s">
        <v>500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 t="shared" si="0"/>
        <v>0</v>
      </c>
    </row>
    <row r="14" spans="1:16" ht="22.5">
      <c r="A14" s="3" t="s">
        <v>496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si="0"/>
        <v>0</v>
      </c>
    </row>
    <row r="15" spans="1:16" ht="12.75">
      <c r="A15" s="1" t="s">
        <v>490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22.5">
      <c r="A16" s="3" t="s">
        <v>535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f>SUM(C16:O16)</f>
        <v>0</v>
      </c>
    </row>
    <row r="17" spans="1:16" ht="12.75">
      <c r="A17" s="3" t="s">
        <v>226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v>3125.76</v>
      </c>
    </row>
    <row r="18" spans="1:16" ht="12.75">
      <c r="A18" s="3" t="s">
        <v>299</v>
      </c>
      <c r="B18" s="1"/>
      <c r="C18" s="1"/>
      <c r="D18" s="1"/>
      <c r="E18" s="1"/>
      <c r="F18" s="1">
        <v>112.54</v>
      </c>
      <c r="G18" s="1"/>
      <c r="H18" s="1"/>
      <c r="I18" s="1"/>
      <c r="J18" s="1"/>
      <c r="K18" s="1"/>
      <c r="L18" s="1"/>
      <c r="M18" s="1"/>
      <c r="N18" s="1"/>
      <c r="O18" s="1"/>
      <c r="P18" s="1">
        <v>112.54</v>
      </c>
    </row>
    <row r="19" spans="1:16" ht="12.75">
      <c r="A19" s="3" t="s">
        <v>300</v>
      </c>
      <c r="B19" s="1"/>
      <c r="C19" s="1"/>
      <c r="D19" s="1"/>
      <c r="E19" s="1"/>
      <c r="F19" s="1">
        <v>199</v>
      </c>
      <c r="G19" s="1"/>
      <c r="H19" s="1"/>
      <c r="I19" s="1"/>
      <c r="J19" s="1"/>
      <c r="K19" s="1"/>
      <c r="L19" s="1"/>
      <c r="M19" s="1"/>
      <c r="N19" s="1"/>
      <c r="O19" s="1"/>
      <c r="P19" s="1">
        <v>199</v>
      </c>
    </row>
    <row r="20" spans="1:16" ht="22.5">
      <c r="A20" s="3" t="s">
        <v>301</v>
      </c>
      <c r="B20" s="1"/>
      <c r="C20" s="1"/>
      <c r="D20" s="1"/>
      <c r="E20" s="1"/>
      <c r="F20" s="1">
        <v>130</v>
      </c>
      <c r="G20" s="1"/>
      <c r="H20" s="1"/>
      <c r="I20" s="1"/>
      <c r="J20" s="1"/>
      <c r="K20" s="1"/>
      <c r="L20" s="1"/>
      <c r="M20" s="1"/>
      <c r="N20" s="1"/>
      <c r="O20" s="1"/>
      <c r="P20" s="1">
        <v>130</v>
      </c>
    </row>
    <row r="21" spans="1:16" ht="22.5">
      <c r="A21" s="3" t="s">
        <v>302</v>
      </c>
      <c r="B21" s="1"/>
      <c r="C21" s="1"/>
      <c r="D21" s="1"/>
      <c r="E21" s="1"/>
      <c r="F21" s="1">
        <v>207.08</v>
      </c>
      <c r="G21" s="1"/>
      <c r="H21" s="1"/>
      <c r="I21" s="1"/>
      <c r="J21" s="1"/>
      <c r="K21" s="1"/>
      <c r="L21" s="1"/>
      <c r="M21" s="1"/>
      <c r="N21" s="1"/>
      <c r="O21" s="1"/>
      <c r="P21" s="1">
        <f>SUM(C21:O21)</f>
        <v>207.08</v>
      </c>
    </row>
    <row r="22" spans="1:16" ht="12" customHeight="1">
      <c r="A22" s="3" t="s">
        <v>539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f>SUM(C22:O22)</f>
        <v>0</v>
      </c>
    </row>
    <row r="23" spans="1:16" ht="12.75">
      <c r="A23" s="1" t="s">
        <v>504</v>
      </c>
      <c r="B23" s="1"/>
      <c r="C23" s="1"/>
      <c r="D23" s="1"/>
      <c r="E23" s="1"/>
      <c r="F23" s="1"/>
      <c r="G23" s="1">
        <v>12646</v>
      </c>
      <c r="H23" s="1"/>
      <c r="I23" s="1"/>
      <c r="J23" s="1"/>
      <c r="K23" s="1"/>
      <c r="L23" s="1"/>
      <c r="M23" s="1"/>
      <c r="N23" s="1"/>
      <c r="O23" s="1"/>
      <c r="P23" s="1">
        <f>SUM(G23:O23)</f>
        <v>12646</v>
      </c>
    </row>
    <row r="24" spans="1:16" ht="12.75">
      <c r="A24" s="1" t="s">
        <v>303</v>
      </c>
      <c r="B24" s="1"/>
      <c r="C24" s="1"/>
      <c r="D24" s="1">
        <v>828.32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v>828.32</v>
      </c>
    </row>
    <row r="25" spans="1:16" ht="12.75">
      <c r="A25" s="3" t="s">
        <v>304</v>
      </c>
      <c r="B25" s="1"/>
      <c r="C25" s="1"/>
      <c r="D25" s="1">
        <v>828.32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>
        <f>SUM(C25:O25)</f>
        <v>828.32</v>
      </c>
    </row>
    <row r="26" spans="1:16" ht="12.75">
      <c r="A26" s="3" t="s">
        <v>670</v>
      </c>
      <c r="B26" s="1"/>
      <c r="C26" s="1"/>
      <c r="D26" s="1"/>
      <c r="E26" s="1"/>
      <c r="F26" s="1"/>
      <c r="G26" s="1">
        <v>16000</v>
      </c>
      <c r="H26" s="1"/>
      <c r="I26" s="1"/>
      <c r="J26" s="1"/>
      <c r="K26" s="1"/>
      <c r="L26" s="1"/>
      <c r="M26" s="1"/>
      <c r="N26" s="1"/>
      <c r="O26" s="1"/>
      <c r="P26" s="1">
        <f>SUM(C26:O26)</f>
        <v>16000</v>
      </c>
    </row>
    <row r="27" spans="1:16" ht="12.75">
      <c r="A27" s="3" t="s">
        <v>771</v>
      </c>
      <c r="B27" s="1"/>
      <c r="C27" s="1"/>
      <c r="D27" s="1"/>
      <c r="E27" s="1"/>
      <c r="F27" s="1"/>
      <c r="G27" s="1"/>
      <c r="H27" s="1">
        <v>519.15</v>
      </c>
      <c r="I27" s="1"/>
      <c r="J27" s="1"/>
      <c r="K27" s="1"/>
      <c r="L27" s="1"/>
      <c r="M27" s="1"/>
      <c r="N27" s="1"/>
      <c r="O27" s="1"/>
      <c r="P27" s="1">
        <v>519.15</v>
      </c>
    </row>
    <row r="28" spans="1:16" ht="22.5">
      <c r="A28" s="3" t="s">
        <v>305</v>
      </c>
      <c r="B28" s="1"/>
      <c r="C28" s="1">
        <v>825.44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>
        <v>825.44</v>
      </c>
    </row>
    <row r="29" spans="1:16" ht="22.5">
      <c r="A29" s="3" t="s">
        <v>306</v>
      </c>
      <c r="B29" s="1"/>
      <c r="C29" s="1"/>
      <c r="D29" s="1">
        <v>2484.96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>
        <v>2484.96</v>
      </c>
    </row>
    <row r="30" spans="1:16" ht="22.5">
      <c r="A30" s="3" t="s">
        <v>307</v>
      </c>
      <c r="B30" s="1"/>
      <c r="C30" s="1">
        <v>3796.22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>
        <f>SUM(C30:O30)</f>
        <v>3796.22</v>
      </c>
    </row>
    <row r="31" spans="1:16" ht="12.75">
      <c r="A31" s="3" t="s">
        <v>308</v>
      </c>
      <c r="B31" s="1"/>
      <c r="C31" s="1">
        <v>5139.92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>
        <f>SUM(C31:O31)</f>
        <v>5139.92</v>
      </c>
    </row>
    <row r="32" spans="1:16" ht="12.75">
      <c r="A32" s="3" t="s">
        <v>61</v>
      </c>
      <c r="B32" s="1"/>
      <c r="C32" s="1"/>
      <c r="D32" s="1"/>
      <c r="E32" s="1"/>
      <c r="F32" s="1"/>
      <c r="G32" s="1"/>
      <c r="H32" s="1"/>
      <c r="I32" s="1">
        <v>2406.64</v>
      </c>
      <c r="J32" s="1"/>
      <c r="K32" s="1"/>
      <c r="L32" s="1"/>
      <c r="M32" s="1"/>
      <c r="N32" s="1"/>
      <c r="O32" s="1"/>
      <c r="P32" s="1">
        <v>2406.64</v>
      </c>
    </row>
    <row r="33" spans="1:16" ht="12.75">
      <c r="A33" s="3" t="s">
        <v>76</v>
      </c>
      <c r="B33" s="1"/>
      <c r="C33" s="1"/>
      <c r="D33" s="1"/>
      <c r="E33" s="1"/>
      <c r="F33" s="1"/>
      <c r="G33" s="1"/>
      <c r="H33" s="1"/>
      <c r="I33" s="1">
        <v>145100</v>
      </c>
      <c r="J33" s="1"/>
      <c r="K33" s="1"/>
      <c r="L33" s="1"/>
      <c r="M33" s="1"/>
      <c r="N33" s="1"/>
      <c r="O33" s="1"/>
      <c r="P33" s="1">
        <v>145100</v>
      </c>
    </row>
    <row r="34" spans="1:16" ht="12.75">
      <c r="A34" s="3" t="s">
        <v>308</v>
      </c>
      <c r="B34" s="1"/>
      <c r="C34" s="1">
        <v>5501.64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>
        <f>SUM(C34:O34)</f>
        <v>5501.64</v>
      </c>
    </row>
    <row r="35" spans="1:16" ht="12.75">
      <c r="A35" s="3" t="s">
        <v>702</v>
      </c>
      <c r="B35" s="1"/>
      <c r="C35" s="1"/>
      <c r="D35" s="1"/>
      <c r="E35" s="1"/>
      <c r="F35" s="1">
        <v>414.16</v>
      </c>
      <c r="G35" s="1"/>
      <c r="H35" s="1"/>
      <c r="I35" s="1"/>
      <c r="J35" s="1"/>
      <c r="K35" s="1"/>
      <c r="L35" s="1"/>
      <c r="M35" s="1"/>
      <c r="N35" s="1"/>
      <c r="O35" s="1"/>
      <c r="P35" s="1">
        <v>414.16</v>
      </c>
    </row>
    <row r="36" spans="1:16" ht="12.75">
      <c r="A36" s="3" t="s">
        <v>528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>
        <v>930.48</v>
      </c>
    </row>
    <row r="37" spans="1:16" ht="12.75">
      <c r="A37" s="1" t="s">
        <v>415</v>
      </c>
      <c r="B37" s="1"/>
      <c r="C37" s="1">
        <f aca="true" t="shared" si="1" ref="C37:O37">SUM(C4:C36)</f>
        <v>34030.263</v>
      </c>
      <c r="D37" s="1">
        <f t="shared" si="1"/>
        <v>22908.643</v>
      </c>
      <c r="E37" s="1">
        <f t="shared" si="1"/>
        <v>18767.043</v>
      </c>
      <c r="F37" s="1">
        <f t="shared" si="1"/>
        <v>19829.823000000004</v>
      </c>
      <c r="G37" s="1">
        <f t="shared" si="1"/>
        <v>47413.043000000005</v>
      </c>
      <c r="H37" s="1">
        <f t="shared" si="1"/>
        <v>19255.800000000003</v>
      </c>
      <c r="I37" s="1">
        <f t="shared" si="1"/>
        <v>166488.6</v>
      </c>
      <c r="J37" s="1">
        <f t="shared" si="1"/>
        <v>18981.96</v>
      </c>
      <c r="K37" s="1">
        <f t="shared" si="1"/>
        <v>0</v>
      </c>
      <c r="L37" s="1">
        <f t="shared" si="1"/>
        <v>0</v>
      </c>
      <c r="M37" s="1">
        <f t="shared" si="1"/>
        <v>0</v>
      </c>
      <c r="N37" s="1">
        <f t="shared" si="1"/>
        <v>0</v>
      </c>
      <c r="O37" s="1">
        <f t="shared" si="1"/>
        <v>0</v>
      </c>
      <c r="P37" s="1">
        <f>SUM(C37:O37)</f>
        <v>347675.175</v>
      </c>
    </row>
    <row r="38" spans="1:16" ht="12.75">
      <c r="A38" s="1" t="s">
        <v>419</v>
      </c>
      <c r="B38" s="1"/>
      <c r="C38" s="1">
        <v>35637.76</v>
      </c>
      <c r="D38" s="1">
        <v>26393.18</v>
      </c>
      <c r="E38" s="1">
        <v>31295</v>
      </c>
      <c r="F38" s="1">
        <v>34765.99</v>
      </c>
      <c r="G38" s="1">
        <v>26617.25</v>
      </c>
      <c r="H38" s="1">
        <v>31613.87</v>
      </c>
      <c r="I38" s="1">
        <v>31484.27</v>
      </c>
      <c r="J38" s="1">
        <v>30460.61</v>
      </c>
      <c r="K38" s="1"/>
      <c r="L38" s="1"/>
      <c r="M38" s="1"/>
      <c r="N38" s="1"/>
      <c r="O38" s="1"/>
      <c r="P38" s="1">
        <f>SUM(C38:O38)</f>
        <v>248267.93</v>
      </c>
    </row>
    <row r="39" spans="1:16" ht="12.75">
      <c r="A39" s="1" t="s">
        <v>254</v>
      </c>
      <c r="B39" s="1"/>
      <c r="C39" s="1"/>
      <c r="D39" s="1"/>
      <c r="E39" s="1"/>
      <c r="F39" s="1"/>
      <c r="G39" s="1"/>
      <c r="H39" s="1"/>
      <c r="I39" s="1"/>
      <c r="J39" s="1">
        <v>43032.77</v>
      </c>
      <c r="K39" s="1"/>
      <c r="L39" s="1"/>
      <c r="M39" s="1"/>
      <c r="N39" s="1"/>
      <c r="O39" s="1"/>
      <c r="P39" s="1">
        <f>SUM(C39:O39)</f>
        <v>43032.77</v>
      </c>
    </row>
    <row r="40" spans="1:16" s="12" customFormat="1" ht="12.75">
      <c r="A40" s="2" t="s">
        <v>420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>
        <f>P38+P1-P37+P41+P42+P39</f>
        <v>13851.53500000001</v>
      </c>
    </row>
    <row r="41" spans="1:16" s="12" customFormat="1" ht="12.75">
      <c r="A41" s="2" t="s">
        <v>689</v>
      </c>
      <c r="B41" s="2"/>
      <c r="C41" s="2"/>
      <c r="D41" s="2"/>
      <c r="E41" s="2"/>
      <c r="F41" s="2">
        <v>378</v>
      </c>
      <c r="G41" s="2"/>
      <c r="H41" s="2">
        <v>400</v>
      </c>
      <c r="I41" s="2"/>
      <c r="J41" s="2">
        <v>240</v>
      </c>
      <c r="K41" s="2"/>
      <c r="L41" s="2"/>
      <c r="M41" s="2"/>
      <c r="N41" s="2"/>
      <c r="O41" s="2"/>
      <c r="P41" s="2">
        <f>SUM(C41:O41)</f>
        <v>1018</v>
      </c>
    </row>
    <row r="42" spans="1:16" ht="12.75">
      <c r="A42" s="1" t="s">
        <v>690</v>
      </c>
      <c r="B42" s="1"/>
      <c r="C42" s="1"/>
      <c r="D42" s="1"/>
      <c r="E42" s="1"/>
      <c r="F42" s="2">
        <v>3675</v>
      </c>
      <c r="G42" s="1">
        <v>1513.5</v>
      </c>
      <c r="H42" s="1">
        <v>600</v>
      </c>
      <c r="I42" s="1"/>
      <c r="J42" s="1">
        <v>140</v>
      </c>
      <c r="K42" s="1"/>
      <c r="L42" s="1"/>
      <c r="M42" s="1"/>
      <c r="N42" s="1"/>
      <c r="O42" s="1"/>
      <c r="P42" s="2">
        <f>SUM(C42:O42)</f>
        <v>5928.5</v>
      </c>
    </row>
    <row r="43" spans="1:16" ht="12.75">
      <c r="A43" s="1"/>
      <c r="B43" s="62" t="s">
        <v>483</v>
      </c>
      <c r="C43" s="63"/>
      <c r="D43" s="63"/>
      <c r="E43" s="63"/>
      <c r="F43" s="64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7" ht="12.75">
      <c r="G47" s="14" t="s">
        <v>428</v>
      </c>
    </row>
  </sheetData>
  <sheetProtection/>
  <mergeCells count="1">
    <mergeCell ref="B43:F43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scale="74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I24" sqref="I24"/>
    </sheetView>
  </sheetViews>
  <sheetFormatPr defaultColWidth="9.00390625" defaultRowHeight="12.75"/>
  <cols>
    <col min="1" max="1" width="34.375" style="14" customWidth="1"/>
    <col min="2" max="2" width="12.875" style="14" customWidth="1"/>
    <col min="3" max="3" width="7.25390625" style="14" customWidth="1"/>
    <col min="4" max="4" width="8.75390625" style="14" customWidth="1"/>
    <col min="5" max="5" width="7.125" style="14" customWidth="1"/>
    <col min="6" max="6" width="8.75390625" style="14" customWidth="1"/>
    <col min="7" max="7" width="8.375" style="14" customWidth="1"/>
    <col min="8" max="15" width="9.125" style="14" customWidth="1"/>
    <col min="16" max="16" width="11.375" style="14" customWidth="1"/>
    <col min="17" max="16384" width="9.125" style="14" customWidth="1"/>
  </cols>
  <sheetData>
    <row r="1" spans="1:16" s="12" customFormat="1" ht="12.75">
      <c r="A1" s="2" t="s">
        <v>422</v>
      </c>
      <c r="B1" s="2">
        <v>2033.6</v>
      </c>
      <c r="C1" s="2"/>
      <c r="D1" s="2"/>
      <c r="E1" s="2"/>
      <c r="F1" s="2"/>
      <c r="G1" s="2"/>
      <c r="H1" s="2" t="s">
        <v>418</v>
      </c>
      <c r="I1" s="2">
        <v>13</v>
      </c>
      <c r="J1" s="2"/>
      <c r="K1" s="2" t="s">
        <v>433</v>
      </c>
      <c r="L1" s="2" t="s">
        <v>601</v>
      </c>
      <c r="M1" s="2"/>
      <c r="N1" s="2"/>
      <c r="O1" s="2"/>
      <c r="P1" s="2">
        <v>-65068.59</v>
      </c>
    </row>
    <row r="2" spans="1:16" ht="12.75">
      <c r="A2" s="1" t="s">
        <v>680</v>
      </c>
      <c r="B2" s="1">
        <v>26436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2" customFormat="1" ht="12.75">
      <c r="A3" s="2" t="s">
        <v>409</v>
      </c>
      <c r="B3" s="2" t="s">
        <v>410</v>
      </c>
      <c r="C3" s="2" t="s">
        <v>434</v>
      </c>
      <c r="D3" s="2" t="s">
        <v>438</v>
      </c>
      <c r="E3" s="2" t="s">
        <v>437</v>
      </c>
      <c r="F3" s="2" t="s">
        <v>436</v>
      </c>
      <c r="G3" s="2" t="s">
        <v>413</v>
      </c>
      <c r="H3" s="2" t="s">
        <v>414</v>
      </c>
      <c r="I3" s="2" t="s">
        <v>416</v>
      </c>
      <c r="J3" s="2" t="s">
        <v>417</v>
      </c>
      <c r="K3" s="2" t="s">
        <v>423</v>
      </c>
      <c r="L3" s="2" t="s">
        <v>424</v>
      </c>
      <c r="M3" s="2" t="s">
        <v>425</v>
      </c>
      <c r="N3" s="2" t="s">
        <v>426</v>
      </c>
      <c r="O3" s="2" t="s">
        <v>434</v>
      </c>
      <c r="P3" s="2" t="s">
        <v>427</v>
      </c>
    </row>
    <row r="4" spans="1:16" ht="12.75">
      <c r="A4" s="1" t="s">
        <v>411</v>
      </c>
      <c r="B4" s="1">
        <v>1.57</v>
      </c>
      <c r="C4" s="1">
        <f>B4*B1</f>
        <v>3192.752</v>
      </c>
      <c r="D4" s="1">
        <f>B4*B1</f>
        <v>3192.752</v>
      </c>
      <c r="E4" s="1">
        <f>B4*B1</f>
        <v>3192.752</v>
      </c>
      <c r="F4" s="1">
        <f>B4*B1</f>
        <v>3192.752</v>
      </c>
      <c r="G4" s="1">
        <f>B4*B1</f>
        <v>3192.752</v>
      </c>
      <c r="H4" s="1">
        <v>3192.75</v>
      </c>
      <c r="I4" s="1">
        <v>3192.75</v>
      </c>
      <c r="J4" s="1">
        <v>3192.75</v>
      </c>
      <c r="K4" s="1"/>
      <c r="L4" s="1"/>
      <c r="M4" s="1"/>
      <c r="N4" s="1"/>
      <c r="O4" s="1"/>
      <c r="P4" s="1">
        <f>SUM(C4:N4)</f>
        <v>25542.010000000002</v>
      </c>
    </row>
    <row r="5" spans="1:16" ht="12.75">
      <c r="A5" s="1" t="s">
        <v>451</v>
      </c>
      <c r="B5" s="1">
        <v>1.6</v>
      </c>
      <c r="C5" s="1">
        <f>B5*B1</f>
        <v>3253.76</v>
      </c>
      <c r="D5" s="1">
        <f>B5*B1</f>
        <v>3253.76</v>
      </c>
      <c r="E5" s="1">
        <f>B5*B1</f>
        <v>3253.76</v>
      </c>
      <c r="F5" s="1">
        <f>B5*B1</f>
        <v>3253.76</v>
      </c>
      <c r="G5" s="1">
        <f>B5*B1</f>
        <v>3253.76</v>
      </c>
      <c r="H5" s="1">
        <v>3253.76</v>
      </c>
      <c r="I5" s="1">
        <v>3253.76</v>
      </c>
      <c r="J5" s="1">
        <v>3253.76</v>
      </c>
      <c r="K5" s="1"/>
      <c r="L5" s="1"/>
      <c r="M5" s="1"/>
      <c r="N5" s="1"/>
      <c r="O5" s="1"/>
      <c r="P5" s="1">
        <f>SUM(C5:N5)</f>
        <v>26030.08</v>
      </c>
    </row>
    <row r="6" spans="1:16" ht="12.75">
      <c r="A6" s="1" t="s">
        <v>412</v>
      </c>
      <c r="B6" s="1">
        <v>1.6</v>
      </c>
      <c r="C6" s="1">
        <f>B6*B1</f>
        <v>3253.76</v>
      </c>
      <c r="D6" s="1">
        <f>B6*B1</f>
        <v>3253.76</v>
      </c>
      <c r="E6" s="1">
        <f>B6*B1</f>
        <v>3253.76</v>
      </c>
      <c r="F6" s="1">
        <f>B6*B1</f>
        <v>3253.76</v>
      </c>
      <c r="G6" s="1">
        <f>B6*B1</f>
        <v>3253.76</v>
      </c>
      <c r="H6" s="1">
        <v>3253.76</v>
      </c>
      <c r="I6" s="1">
        <v>3253.76</v>
      </c>
      <c r="J6" s="1">
        <v>3253.76</v>
      </c>
      <c r="K6" s="1"/>
      <c r="L6" s="1"/>
      <c r="M6" s="1"/>
      <c r="N6" s="1"/>
      <c r="O6" s="1"/>
      <c r="P6" s="1">
        <f aca="true" t="shared" si="0" ref="P6:P35">SUM(C6:O6)</f>
        <v>26030.08</v>
      </c>
    </row>
    <row r="7" spans="1:16" ht="12.75">
      <c r="A7" s="1" t="s">
        <v>435</v>
      </c>
      <c r="B7" s="1">
        <v>0.66</v>
      </c>
      <c r="C7" s="1">
        <v>1342.18</v>
      </c>
      <c r="D7" s="1">
        <v>1342.18</v>
      </c>
      <c r="E7" s="1">
        <v>1342.18</v>
      </c>
      <c r="F7" s="1">
        <v>1342.18</v>
      </c>
      <c r="G7" s="1">
        <v>1342.18</v>
      </c>
      <c r="H7" s="1">
        <v>1342.18</v>
      </c>
      <c r="I7" s="1">
        <v>1342.18</v>
      </c>
      <c r="J7" s="1">
        <v>1342.18</v>
      </c>
      <c r="K7" s="1"/>
      <c r="L7" s="1"/>
      <c r="M7" s="1"/>
      <c r="N7" s="1"/>
      <c r="O7" s="1"/>
      <c r="P7" s="1">
        <f t="shared" si="0"/>
        <v>10737.44</v>
      </c>
    </row>
    <row r="8" spans="1:16" ht="12.75">
      <c r="A8" s="1" t="s">
        <v>491</v>
      </c>
      <c r="B8" s="1">
        <v>0.44</v>
      </c>
      <c r="C8" s="1">
        <v>894.78</v>
      </c>
      <c r="D8" s="1">
        <v>894.78</v>
      </c>
      <c r="E8" s="1">
        <v>894.78</v>
      </c>
      <c r="F8" s="1">
        <v>894.78</v>
      </c>
      <c r="G8" s="1">
        <v>894.78</v>
      </c>
      <c r="H8" s="1">
        <v>894.78</v>
      </c>
      <c r="I8" s="1">
        <v>894.78</v>
      </c>
      <c r="J8" s="1">
        <v>894.78</v>
      </c>
      <c r="K8" s="1"/>
      <c r="L8" s="1"/>
      <c r="M8" s="1"/>
      <c r="N8" s="1"/>
      <c r="O8" s="1"/>
      <c r="P8" s="1">
        <f t="shared" si="0"/>
        <v>7158.239999999999</v>
      </c>
    </row>
    <row r="9" spans="1:16" ht="12.75">
      <c r="A9" s="3" t="s">
        <v>278</v>
      </c>
      <c r="B9" s="1"/>
      <c r="C9" s="1">
        <v>500</v>
      </c>
      <c r="D9" s="1">
        <v>500</v>
      </c>
      <c r="E9" s="1">
        <v>500</v>
      </c>
      <c r="F9" s="1">
        <v>500</v>
      </c>
      <c r="G9" s="1">
        <v>500</v>
      </c>
      <c r="H9" s="1"/>
      <c r="I9" s="1"/>
      <c r="J9" s="1"/>
      <c r="K9" s="1"/>
      <c r="L9" s="1"/>
      <c r="M9" s="1"/>
      <c r="N9" s="1"/>
      <c r="O9" s="1"/>
      <c r="P9" s="1">
        <f t="shared" si="0"/>
        <v>2500</v>
      </c>
    </row>
    <row r="10" spans="1:16" ht="12.75">
      <c r="A10" s="3" t="s">
        <v>253</v>
      </c>
      <c r="B10" s="1"/>
      <c r="C10" s="1">
        <v>2712</v>
      </c>
      <c r="D10" s="1">
        <v>2712</v>
      </c>
      <c r="E10" s="1">
        <v>2712</v>
      </c>
      <c r="F10" s="1">
        <v>2712</v>
      </c>
      <c r="G10" s="1">
        <v>2712</v>
      </c>
      <c r="H10" s="1">
        <v>2712</v>
      </c>
      <c r="I10" s="1">
        <v>2712</v>
      </c>
      <c r="J10" s="1">
        <v>2712</v>
      </c>
      <c r="K10" s="1"/>
      <c r="L10" s="1"/>
      <c r="M10" s="1"/>
      <c r="N10" s="1"/>
      <c r="O10" s="1"/>
      <c r="P10" s="1">
        <f t="shared" si="0"/>
        <v>21696</v>
      </c>
    </row>
    <row r="11" spans="1:16" ht="12.75">
      <c r="A11" s="1" t="s">
        <v>429</v>
      </c>
      <c r="B11" s="1"/>
      <c r="C11" s="1">
        <v>93.55</v>
      </c>
      <c r="D11" s="1">
        <v>93.55</v>
      </c>
      <c r="E11" s="1">
        <v>93.55</v>
      </c>
      <c r="F11" s="1">
        <v>93.55</v>
      </c>
      <c r="G11" s="1">
        <v>93.55</v>
      </c>
      <c r="H11" s="1">
        <v>65.08</v>
      </c>
      <c r="I11" s="1">
        <v>294.87</v>
      </c>
      <c r="J11" s="1">
        <v>294.87</v>
      </c>
      <c r="K11" s="1"/>
      <c r="L11" s="1"/>
      <c r="M11" s="1"/>
      <c r="N11" s="1"/>
      <c r="O11" s="1"/>
      <c r="P11" s="1">
        <f t="shared" si="0"/>
        <v>1122.5700000000002</v>
      </c>
    </row>
    <row r="12" spans="1:16" ht="12.75">
      <c r="A12" s="1" t="s">
        <v>478</v>
      </c>
      <c r="B12" s="1"/>
      <c r="C12" s="1">
        <v>2712</v>
      </c>
      <c r="D12" s="1">
        <v>2712</v>
      </c>
      <c r="E12" s="1">
        <v>2712</v>
      </c>
      <c r="F12" s="1">
        <v>2712</v>
      </c>
      <c r="G12" s="1">
        <v>2712</v>
      </c>
      <c r="H12" s="1">
        <v>2712</v>
      </c>
      <c r="I12" s="1">
        <v>2712</v>
      </c>
      <c r="J12" s="1">
        <v>2712</v>
      </c>
      <c r="K12" s="1"/>
      <c r="L12" s="1"/>
      <c r="M12" s="1"/>
      <c r="N12" s="1"/>
      <c r="O12" s="1"/>
      <c r="P12" s="1">
        <f t="shared" si="0"/>
        <v>21696</v>
      </c>
    </row>
    <row r="13" spans="1:16" ht="22.5">
      <c r="A13" s="3" t="s">
        <v>498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 t="shared" si="0"/>
        <v>0</v>
      </c>
    </row>
    <row r="14" spans="1:16" ht="12.75">
      <c r="A14" s="1" t="s">
        <v>506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si="0"/>
        <v>0</v>
      </c>
    </row>
    <row r="15" spans="1:16" ht="12.75">
      <c r="A15" s="1" t="s">
        <v>489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f t="shared" si="0"/>
        <v>0</v>
      </c>
    </row>
    <row r="16" spans="1:16" ht="12.75">
      <c r="A16" s="1" t="s">
        <v>490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f t="shared" si="0"/>
        <v>0</v>
      </c>
    </row>
    <row r="17" spans="1:16" ht="12.75">
      <c r="A17" s="1" t="s">
        <v>499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si="0"/>
        <v>0</v>
      </c>
    </row>
    <row r="18" spans="1:16" ht="12.75">
      <c r="A18" s="1" t="s">
        <v>497</v>
      </c>
      <c r="B18" s="1"/>
      <c r="C18" s="1"/>
      <c r="D18" s="1"/>
      <c r="E18" s="1"/>
      <c r="F18" s="1"/>
      <c r="G18" s="1">
        <v>13651</v>
      </c>
      <c r="H18" s="1"/>
      <c r="I18" s="1"/>
      <c r="J18" s="1"/>
      <c r="K18" s="1"/>
      <c r="L18" s="1"/>
      <c r="M18" s="1"/>
      <c r="N18" s="1"/>
      <c r="O18" s="1"/>
      <c r="P18" s="1">
        <f t="shared" si="0"/>
        <v>13651</v>
      </c>
    </row>
    <row r="19" spans="1:16" ht="12.75">
      <c r="A19" s="1" t="s">
        <v>492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f t="shared" si="0"/>
        <v>0</v>
      </c>
    </row>
    <row r="20" spans="1:16" ht="12.75">
      <c r="A20" s="1" t="s">
        <v>507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 t="shared" si="0"/>
        <v>0</v>
      </c>
    </row>
    <row r="21" spans="1:16" ht="12.75">
      <c r="A21" s="1" t="s">
        <v>494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f t="shared" si="0"/>
        <v>0</v>
      </c>
    </row>
    <row r="22" spans="1:16" ht="12.75">
      <c r="A22" s="1" t="s">
        <v>300</v>
      </c>
      <c r="B22" s="1"/>
      <c r="C22" s="1"/>
      <c r="D22" s="1"/>
      <c r="E22" s="1"/>
      <c r="F22" s="1">
        <v>38</v>
      </c>
      <c r="G22" s="1"/>
      <c r="H22" s="1"/>
      <c r="I22" s="1"/>
      <c r="J22" s="1"/>
      <c r="K22" s="1"/>
      <c r="L22" s="1"/>
      <c r="M22" s="1"/>
      <c r="N22" s="1"/>
      <c r="O22" s="1"/>
      <c r="P22" s="1">
        <f t="shared" si="0"/>
        <v>38</v>
      </c>
    </row>
    <row r="23" spans="1:16" ht="22.5">
      <c r="A23" s="3" t="s">
        <v>579</v>
      </c>
      <c r="B23" s="1"/>
      <c r="C23" s="1"/>
      <c r="D23" s="1"/>
      <c r="E23" s="1">
        <v>207.08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>
        <f t="shared" si="0"/>
        <v>207.08</v>
      </c>
    </row>
    <row r="24" spans="1:16" ht="12.75">
      <c r="A24" s="3" t="s">
        <v>79</v>
      </c>
      <c r="B24" s="1"/>
      <c r="C24" s="1"/>
      <c r="D24" s="1"/>
      <c r="E24" s="1"/>
      <c r="F24" s="1"/>
      <c r="G24" s="1"/>
      <c r="H24" s="1"/>
      <c r="I24" s="1">
        <v>107765.52</v>
      </c>
      <c r="J24" s="1"/>
      <c r="K24" s="1"/>
      <c r="L24" s="1"/>
      <c r="M24" s="1"/>
      <c r="N24" s="1"/>
      <c r="O24" s="1"/>
      <c r="P24" s="1">
        <f>SUM(I24:O24)</f>
        <v>107765.52</v>
      </c>
    </row>
    <row r="25" spans="1:16" ht="12.75">
      <c r="A25" s="3" t="s">
        <v>90</v>
      </c>
      <c r="B25" s="1"/>
      <c r="C25" s="1"/>
      <c r="D25" s="1"/>
      <c r="E25" s="1"/>
      <c r="F25" s="1"/>
      <c r="G25" s="1"/>
      <c r="H25" s="1"/>
      <c r="I25" s="1">
        <v>7737.04</v>
      </c>
      <c r="J25" s="1"/>
      <c r="K25" s="1"/>
      <c r="L25" s="1"/>
      <c r="M25" s="1"/>
      <c r="N25" s="1"/>
      <c r="O25" s="1"/>
      <c r="P25" s="1">
        <v>7737.04</v>
      </c>
    </row>
    <row r="26" spans="1:16" ht="22.5">
      <c r="A26" s="3" t="s">
        <v>580</v>
      </c>
      <c r="B26" s="1"/>
      <c r="C26" s="1"/>
      <c r="D26" s="1">
        <v>949.82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>
        <f t="shared" si="0"/>
        <v>949.82</v>
      </c>
    </row>
    <row r="27" spans="1:16" ht="12.75">
      <c r="A27" s="3" t="s">
        <v>528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>
        <f t="shared" si="0"/>
        <v>0</v>
      </c>
    </row>
    <row r="28" spans="1:16" ht="12.75">
      <c r="A28" s="3" t="s">
        <v>705</v>
      </c>
      <c r="B28" s="1"/>
      <c r="C28" s="1"/>
      <c r="D28" s="1"/>
      <c r="E28" s="1"/>
      <c r="F28" s="1">
        <v>828.32</v>
      </c>
      <c r="G28" s="1"/>
      <c r="H28" s="1"/>
      <c r="I28" s="1"/>
      <c r="J28" s="1"/>
      <c r="K28" s="1"/>
      <c r="L28" s="1"/>
      <c r="M28" s="1"/>
      <c r="N28" s="1"/>
      <c r="O28" s="1"/>
      <c r="P28" s="1">
        <f>SUM(C28:O28)</f>
        <v>828.32</v>
      </c>
    </row>
    <row r="29" spans="1:16" ht="12.75">
      <c r="A29" s="3" t="s">
        <v>700</v>
      </c>
      <c r="B29" s="1"/>
      <c r="C29" s="1"/>
      <c r="D29" s="1"/>
      <c r="E29" s="1"/>
      <c r="F29" s="1">
        <v>828.32</v>
      </c>
      <c r="G29" s="1"/>
      <c r="H29" s="1"/>
      <c r="I29" s="1"/>
      <c r="J29" s="1"/>
      <c r="K29" s="1"/>
      <c r="L29" s="1"/>
      <c r="M29" s="1"/>
      <c r="N29" s="1"/>
      <c r="O29" s="1"/>
      <c r="P29" s="1">
        <f>SUM(C29:O29)</f>
        <v>828.32</v>
      </c>
    </row>
    <row r="30" spans="1:16" ht="12.75">
      <c r="A30" s="3" t="s">
        <v>702</v>
      </c>
      <c r="B30" s="1"/>
      <c r="C30" s="1"/>
      <c r="D30" s="1"/>
      <c r="E30" s="1"/>
      <c r="F30" s="1">
        <v>615.16</v>
      </c>
      <c r="G30" s="1"/>
      <c r="H30" s="1"/>
      <c r="I30" s="1"/>
      <c r="J30" s="1"/>
      <c r="K30" s="1"/>
      <c r="L30" s="1"/>
      <c r="M30" s="1"/>
      <c r="N30" s="1"/>
      <c r="O30" s="1"/>
      <c r="P30" s="1">
        <v>615.16</v>
      </c>
    </row>
    <row r="31" spans="1:16" ht="12.75">
      <c r="A31" s="3" t="s">
        <v>226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>
        <f t="shared" si="0"/>
        <v>0</v>
      </c>
    </row>
    <row r="32" spans="1:16" ht="22.5">
      <c r="A32" s="3" t="s">
        <v>538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>
        <f t="shared" si="0"/>
        <v>0</v>
      </c>
    </row>
    <row r="33" spans="1:16" ht="22.5">
      <c r="A33" s="3" t="s">
        <v>537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>
        <f t="shared" si="0"/>
        <v>0</v>
      </c>
    </row>
    <row r="34" spans="1:16" ht="12.75">
      <c r="A34" s="3" t="s">
        <v>613</v>
      </c>
      <c r="B34" s="1"/>
      <c r="C34" s="1"/>
      <c r="D34" s="1"/>
      <c r="E34" s="1"/>
      <c r="F34" s="1"/>
      <c r="G34" s="1">
        <v>828.32</v>
      </c>
      <c r="H34" s="1"/>
      <c r="I34" s="1"/>
      <c r="J34" s="1"/>
      <c r="K34" s="1"/>
      <c r="L34" s="1"/>
      <c r="M34" s="1"/>
      <c r="N34" s="1"/>
      <c r="O34" s="1"/>
      <c r="P34" s="1">
        <f t="shared" si="0"/>
        <v>828.32</v>
      </c>
    </row>
    <row r="35" spans="1:16" ht="12.75">
      <c r="A35" s="3" t="s">
        <v>641</v>
      </c>
      <c r="B35" s="1"/>
      <c r="C35" s="1"/>
      <c r="D35" s="1"/>
      <c r="E35" s="1"/>
      <c r="F35" s="1"/>
      <c r="G35" s="1">
        <v>226.2</v>
      </c>
      <c r="H35" s="1"/>
      <c r="I35" s="1"/>
      <c r="J35" s="1"/>
      <c r="K35" s="1"/>
      <c r="L35" s="1"/>
      <c r="M35" s="1"/>
      <c r="N35" s="1"/>
      <c r="O35" s="1"/>
      <c r="P35" s="1">
        <f t="shared" si="0"/>
        <v>226.2</v>
      </c>
    </row>
    <row r="36" spans="1:16" ht="12.75">
      <c r="A36" s="1" t="s">
        <v>415</v>
      </c>
      <c r="B36" s="1"/>
      <c r="C36" s="1">
        <f aca="true" t="shared" si="1" ref="C36:O36">SUM(C4:C35)</f>
        <v>17954.782</v>
      </c>
      <c r="D36" s="1">
        <f t="shared" si="1"/>
        <v>18904.602</v>
      </c>
      <c r="E36" s="1">
        <f t="shared" si="1"/>
        <v>18161.862</v>
      </c>
      <c r="F36" s="1">
        <f t="shared" si="1"/>
        <v>20264.582</v>
      </c>
      <c r="G36" s="1">
        <f t="shared" si="1"/>
        <v>32660.302</v>
      </c>
      <c r="H36" s="1">
        <f t="shared" si="1"/>
        <v>17426.31</v>
      </c>
      <c r="I36" s="1">
        <f t="shared" si="1"/>
        <v>133158.66</v>
      </c>
      <c r="J36" s="1">
        <f t="shared" si="1"/>
        <v>17656.100000000002</v>
      </c>
      <c r="K36" s="1">
        <f t="shared" si="1"/>
        <v>0</v>
      </c>
      <c r="L36" s="1">
        <f t="shared" si="1"/>
        <v>0</v>
      </c>
      <c r="M36" s="1">
        <f t="shared" si="1"/>
        <v>0</v>
      </c>
      <c r="N36" s="1">
        <f t="shared" si="1"/>
        <v>0</v>
      </c>
      <c r="O36" s="1">
        <f t="shared" si="1"/>
        <v>0</v>
      </c>
      <c r="P36" s="1">
        <f>SUM(P4:P35)</f>
        <v>276187.2</v>
      </c>
    </row>
    <row r="37" spans="1:16" ht="12.75">
      <c r="A37" s="1" t="s">
        <v>419</v>
      </c>
      <c r="B37" s="1"/>
      <c r="C37" s="1">
        <v>29160.14</v>
      </c>
      <c r="D37" s="1">
        <v>22294.02</v>
      </c>
      <c r="E37" s="1">
        <v>25415.19</v>
      </c>
      <c r="F37" s="1">
        <v>28372.53</v>
      </c>
      <c r="G37" s="1">
        <v>27023.17</v>
      </c>
      <c r="H37" s="1">
        <v>23356.41</v>
      </c>
      <c r="I37" s="1">
        <v>25122.52</v>
      </c>
      <c r="J37" s="1">
        <v>29106.35</v>
      </c>
      <c r="K37" s="1"/>
      <c r="L37" s="1"/>
      <c r="M37" s="1"/>
      <c r="N37" s="1"/>
      <c r="O37" s="33"/>
      <c r="P37" s="1">
        <f>SUM(C37:O37)</f>
        <v>209850.33</v>
      </c>
    </row>
    <row r="38" spans="1:16" ht="12.75">
      <c r="A38" s="1" t="s">
        <v>403</v>
      </c>
      <c r="B38" s="1"/>
      <c r="C38" s="1"/>
      <c r="D38" s="1"/>
      <c r="E38" s="1"/>
      <c r="F38" s="1">
        <f>45781.2+62694</f>
        <v>108475.2</v>
      </c>
      <c r="G38" s="1">
        <f>4762.8+5571.3</f>
        <v>10334.1</v>
      </c>
      <c r="H38" s="1"/>
      <c r="I38" s="1"/>
      <c r="J38" s="1">
        <v>19051.2</v>
      </c>
      <c r="K38" s="1"/>
      <c r="L38" s="1"/>
      <c r="M38" s="1"/>
      <c r="N38" s="1"/>
      <c r="O38" s="1"/>
      <c r="P38" s="1">
        <f>SUM(F38:O38)</f>
        <v>137860.5</v>
      </c>
    </row>
    <row r="39" spans="1:16" s="12" customFormat="1" ht="12.75">
      <c r="A39" s="2" t="s">
        <v>420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4">
        <f>P37+P38+P40+P41-P36+P1</f>
        <v>13401.53999999995</v>
      </c>
    </row>
    <row r="40" spans="1:16" s="12" customFormat="1" ht="12.75">
      <c r="A40" s="2" t="s">
        <v>603</v>
      </c>
      <c r="B40" s="2"/>
      <c r="C40" s="2"/>
      <c r="D40" s="2"/>
      <c r="E40" s="2"/>
      <c r="F40" s="2">
        <v>378</v>
      </c>
      <c r="G40" s="2"/>
      <c r="H40" s="2">
        <v>400</v>
      </c>
      <c r="I40" s="2"/>
      <c r="J40" s="2">
        <v>240</v>
      </c>
      <c r="K40" s="2"/>
      <c r="L40" s="2"/>
      <c r="M40" s="2"/>
      <c r="N40" s="2"/>
      <c r="O40" s="2"/>
      <c r="P40" s="4">
        <f>SUM(F40:O40)</f>
        <v>1018</v>
      </c>
    </row>
    <row r="41" spans="1:16" ht="12.75">
      <c r="A41" s="1" t="s">
        <v>527</v>
      </c>
      <c r="B41" s="1"/>
      <c r="C41" s="1"/>
      <c r="D41" s="1"/>
      <c r="E41" s="1"/>
      <c r="F41" s="1">
        <v>3675</v>
      </c>
      <c r="G41" s="1">
        <v>1513.5</v>
      </c>
      <c r="H41" s="1">
        <v>600</v>
      </c>
      <c r="I41" s="1"/>
      <c r="J41" s="1">
        <v>140</v>
      </c>
      <c r="K41" s="1"/>
      <c r="L41" s="1"/>
      <c r="M41" s="1"/>
      <c r="N41" s="1"/>
      <c r="O41" s="1"/>
      <c r="P41" s="1">
        <f>SUM(F41:J41)</f>
        <v>5928.5</v>
      </c>
    </row>
    <row r="42" spans="1:16" ht="12.75">
      <c r="A42" s="1"/>
      <c r="B42" s="62" t="s">
        <v>483</v>
      </c>
      <c r="C42" s="63"/>
      <c r="D42" s="63"/>
      <c r="E42" s="63"/>
      <c r="F42" s="64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</sheetData>
  <sheetProtection/>
  <mergeCells count="1">
    <mergeCell ref="B42:F42"/>
  </mergeCells>
  <printOptions/>
  <pageMargins left="0.75" right="0.75" top="1" bottom="1" header="0.5" footer="0.5"/>
  <pageSetup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pane xSplit="5" ySplit="19" topLeftCell="F59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J58" sqref="J58"/>
    </sheetView>
  </sheetViews>
  <sheetFormatPr defaultColWidth="9.00390625" defaultRowHeight="12.75"/>
  <cols>
    <col min="1" max="1" width="34.375" style="14" customWidth="1"/>
    <col min="2" max="2" width="11.375" style="14" customWidth="1"/>
    <col min="3" max="3" width="8.625" style="14" customWidth="1"/>
    <col min="4" max="4" width="8.75390625" style="14" customWidth="1"/>
    <col min="5" max="5" width="7.125" style="14" customWidth="1"/>
    <col min="6" max="6" width="7.25390625" style="14" customWidth="1"/>
    <col min="7" max="7" width="8.375" style="14" customWidth="1"/>
    <col min="8" max="8" width="9.125" style="14" customWidth="1"/>
    <col min="9" max="9" width="7.25390625" style="14" customWidth="1"/>
    <col min="10" max="16384" width="9.125" style="14" customWidth="1"/>
  </cols>
  <sheetData>
    <row r="1" spans="1:16" s="12" customFormat="1" ht="12.75">
      <c r="A1" s="2" t="s">
        <v>422</v>
      </c>
      <c r="B1" s="2">
        <v>4236.8</v>
      </c>
      <c r="C1" s="2"/>
      <c r="D1" s="2"/>
      <c r="E1" s="2"/>
      <c r="F1" s="2"/>
      <c r="G1" s="2"/>
      <c r="H1" s="2"/>
      <c r="I1" s="2"/>
      <c r="J1" s="2"/>
      <c r="K1" s="2" t="s">
        <v>439</v>
      </c>
      <c r="L1" s="2"/>
      <c r="M1" s="2" t="s">
        <v>601</v>
      </c>
      <c r="N1" s="2"/>
      <c r="O1" s="2"/>
      <c r="P1" s="2">
        <v>22664</v>
      </c>
    </row>
    <row r="2" spans="1:16" ht="12.75">
      <c r="A2" s="1" t="s">
        <v>421</v>
      </c>
      <c r="B2" s="1">
        <f>PRODUCT(B1,11.2)</f>
        <v>47452.159999999996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2" customFormat="1" ht="12.75">
      <c r="A3" s="2" t="s">
        <v>409</v>
      </c>
      <c r="B3" s="2" t="s">
        <v>410</v>
      </c>
      <c r="C3" s="2" t="s">
        <v>434</v>
      </c>
      <c r="D3" s="2" t="s">
        <v>438</v>
      </c>
      <c r="E3" s="2" t="s">
        <v>437</v>
      </c>
      <c r="F3" s="2" t="s">
        <v>436</v>
      </c>
      <c r="G3" s="2" t="s">
        <v>413</v>
      </c>
      <c r="H3" s="2" t="s">
        <v>414</v>
      </c>
      <c r="I3" s="2" t="s">
        <v>416</v>
      </c>
      <c r="J3" s="2" t="s">
        <v>417</v>
      </c>
      <c r="K3" s="2" t="s">
        <v>423</v>
      </c>
      <c r="L3" s="2" t="s">
        <v>424</v>
      </c>
      <c r="M3" s="2" t="s">
        <v>425</v>
      </c>
      <c r="N3" s="2" t="s">
        <v>426</v>
      </c>
      <c r="O3" s="2" t="s">
        <v>434</v>
      </c>
      <c r="P3" s="2" t="s">
        <v>427</v>
      </c>
    </row>
    <row r="4" spans="1:16" ht="12.75">
      <c r="A4" s="1" t="s">
        <v>411</v>
      </c>
      <c r="B4" s="1">
        <v>1.57</v>
      </c>
      <c r="C4" s="1">
        <f>B4*B1</f>
        <v>6651.776000000001</v>
      </c>
      <c r="D4" s="1">
        <f>B4*B1</f>
        <v>6651.776000000001</v>
      </c>
      <c r="E4" s="1">
        <f>B4*B1</f>
        <v>6651.776000000001</v>
      </c>
      <c r="F4" s="1">
        <f>B4*B1</f>
        <v>6651.776000000001</v>
      </c>
      <c r="G4" s="1">
        <f>B4*B1</f>
        <v>6651.776000000001</v>
      </c>
      <c r="H4" s="1">
        <v>6651.78</v>
      </c>
      <c r="I4" s="1">
        <v>6651.78</v>
      </c>
      <c r="J4" s="1">
        <v>6651.78</v>
      </c>
      <c r="K4" s="1"/>
      <c r="L4" s="1"/>
      <c r="M4" s="1"/>
      <c r="N4" s="1"/>
      <c r="O4" s="1"/>
      <c r="P4" s="1">
        <f aca="true" t="shared" si="0" ref="P4:P58">SUM(C4:O4)</f>
        <v>53214.22</v>
      </c>
    </row>
    <row r="5" spans="1:16" ht="12.75">
      <c r="A5" s="1" t="s">
        <v>451</v>
      </c>
      <c r="B5" s="1">
        <v>1.6</v>
      </c>
      <c r="C5" s="1">
        <f>B5*B1</f>
        <v>6778.880000000001</v>
      </c>
      <c r="D5" s="1">
        <f>B5*B1</f>
        <v>6778.880000000001</v>
      </c>
      <c r="E5" s="1">
        <f>B5*B1</f>
        <v>6778.880000000001</v>
      </c>
      <c r="F5" s="1">
        <f>B5*B1</f>
        <v>6778.880000000001</v>
      </c>
      <c r="G5" s="1">
        <f>B5*B1</f>
        <v>6778.880000000001</v>
      </c>
      <c r="H5" s="1">
        <v>6778.88</v>
      </c>
      <c r="I5" s="1">
        <v>6778.88</v>
      </c>
      <c r="J5" s="1">
        <v>6778.88</v>
      </c>
      <c r="K5" s="1"/>
      <c r="L5" s="1"/>
      <c r="M5" s="1"/>
      <c r="N5" s="1"/>
      <c r="O5" s="1"/>
      <c r="P5" s="1">
        <f t="shared" si="0"/>
        <v>54231.04</v>
      </c>
    </row>
    <row r="6" spans="1:16" ht="12.75">
      <c r="A6" s="1" t="s">
        <v>412</v>
      </c>
      <c r="B6" s="1">
        <v>1.6</v>
      </c>
      <c r="C6" s="1">
        <f>B6*B1</f>
        <v>6778.880000000001</v>
      </c>
      <c r="D6" s="1">
        <f>B6*B1</f>
        <v>6778.880000000001</v>
      </c>
      <c r="E6" s="1">
        <f>B6*B1</f>
        <v>6778.880000000001</v>
      </c>
      <c r="F6" s="1">
        <f>B6*B1</f>
        <v>6778.880000000001</v>
      </c>
      <c r="G6" s="1">
        <f>B6*B1</f>
        <v>6778.880000000001</v>
      </c>
      <c r="H6" s="1">
        <v>6778.88</v>
      </c>
      <c r="I6" s="1">
        <v>6778.88</v>
      </c>
      <c r="J6" s="1">
        <v>6778.88</v>
      </c>
      <c r="K6" s="1"/>
      <c r="L6" s="1"/>
      <c r="M6" s="1"/>
      <c r="N6" s="1"/>
      <c r="O6" s="1"/>
      <c r="P6" s="1">
        <f t="shared" si="0"/>
        <v>54231.04</v>
      </c>
    </row>
    <row r="7" spans="1:16" ht="12.75">
      <c r="A7" s="1" t="s">
        <v>502</v>
      </c>
      <c r="B7" s="1">
        <v>0.44</v>
      </c>
      <c r="C7" s="1">
        <v>1864.19</v>
      </c>
      <c r="D7" s="1">
        <v>1864.19</v>
      </c>
      <c r="E7" s="1">
        <v>1864.19</v>
      </c>
      <c r="F7" s="1">
        <v>1864.19</v>
      </c>
      <c r="G7" s="1">
        <v>1864.19</v>
      </c>
      <c r="H7" s="1">
        <v>1864.19</v>
      </c>
      <c r="I7" s="1">
        <v>1864.19</v>
      </c>
      <c r="J7" s="1">
        <v>1864.19</v>
      </c>
      <c r="K7" s="1"/>
      <c r="L7" s="1"/>
      <c r="M7" s="1"/>
      <c r="N7" s="1"/>
      <c r="O7" s="1"/>
      <c r="P7" s="1">
        <f>SUM(C7:O7)</f>
        <v>14913.520000000002</v>
      </c>
    </row>
    <row r="8" spans="1:16" ht="12.75">
      <c r="A8" s="3" t="s">
        <v>253</v>
      </c>
      <c r="B8" s="1"/>
      <c r="C8" s="1">
        <v>2759</v>
      </c>
      <c r="D8" s="1">
        <v>2759</v>
      </c>
      <c r="E8" s="1">
        <v>2759</v>
      </c>
      <c r="F8" s="1">
        <v>2759</v>
      </c>
      <c r="G8" s="1">
        <v>2759</v>
      </c>
      <c r="H8" s="1">
        <v>2759</v>
      </c>
      <c r="I8" s="1">
        <v>2759</v>
      </c>
      <c r="J8" s="1">
        <v>2759</v>
      </c>
      <c r="K8" s="1"/>
      <c r="L8" s="1"/>
      <c r="M8" s="1"/>
      <c r="N8" s="1"/>
      <c r="O8" s="1"/>
      <c r="P8" s="1">
        <f>SUM(C8:O8)</f>
        <v>22072</v>
      </c>
    </row>
    <row r="9" spans="1:16" ht="12.75">
      <c r="A9" s="1" t="s">
        <v>478</v>
      </c>
      <c r="B9" s="1"/>
      <c r="C9" s="1">
        <v>5519</v>
      </c>
      <c r="D9" s="1">
        <v>5519</v>
      </c>
      <c r="E9" s="1">
        <v>5519</v>
      </c>
      <c r="F9" s="1">
        <v>5519</v>
      </c>
      <c r="G9" s="1">
        <v>5519</v>
      </c>
      <c r="H9" s="1">
        <v>5519</v>
      </c>
      <c r="I9" s="1">
        <v>5519</v>
      </c>
      <c r="J9" s="1">
        <v>5519</v>
      </c>
      <c r="K9" s="1"/>
      <c r="L9" s="1"/>
      <c r="M9" s="1"/>
      <c r="N9" s="1"/>
      <c r="O9" s="1"/>
      <c r="P9" s="1">
        <f>SUM(C9:O9)</f>
        <v>44152</v>
      </c>
    </row>
    <row r="10" spans="1:16" ht="12.75">
      <c r="A10" s="3" t="s">
        <v>391</v>
      </c>
      <c r="B10" s="1"/>
      <c r="C10" s="1">
        <v>500</v>
      </c>
      <c r="D10" s="1">
        <v>500</v>
      </c>
      <c r="E10" s="1">
        <v>500</v>
      </c>
      <c r="F10" s="1">
        <v>500</v>
      </c>
      <c r="G10" s="1">
        <v>500</v>
      </c>
      <c r="H10" s="1">
        <v>500</v>
      </c>
      <c r="I10" s="1">
        <v>500</v>
      </c>
      <c r="J10" s="1">
        <v>500</v>
      </c>
      <c r="K10" s="1"/>
      <c r="L10" s="1"/>
      <c r="M10" s="1"/>
      <c r="N10" s="1"/>
      <c r="O10" s="1"/>
      <c r="P10" s="1">
        <f>SUM(C10:O10)</f>
        <v>4000</v>
      </c>
    </row>
    <row r="11" spans="1:16" ht="12.75">
      <c r="A11" s="3" t="s">
        <v>435</v>
      </c>
      <c r="B11" s="1">
        <v>0.66</v>
      </c>
      <c r="C11" s="1">
        <f>B11*B1</f>
        <v>2796.2880000000005</v>
      </c>
      <c r="D11" s="1">
        <v>2542.08</v>
      </c>
      <c r="E11" s="1">
        <v>2542.08</v>
      </c>
      <c r="F11" s="1">
        <v>2542.08</v>
      </c>
      <c r="G11" s="1">
        <v>2542.08</v>
      </c>
      <c r="H11" s="1">
        <v>2542.08</v>
      </c>
      <c r="I11" s="1">
        <v>2542.08</v>
      </c>
      <c r="J11" s="1">
        <v>2542.08</v>
      </c>
      <c r="K11" s="1"/>
      <c r="L11" s="1"/>
      <c r="M11" s="1"/>
      <c r="N11" s="1"/>
      <c r="O11" s="1"/>
      <c r="P11" s="1">
        <f>SUM(C11:O11)</f>
        <v>20590.847999999998</v>
      </c>
    </row>
    <row r="12" spans="1:16" ht="22.5">
      <c r="A12" s="3" t="s">
        <v>498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f t="shared" si="0"/>
        <v>0</v>
      </c>
    </row>
    <row r="13" spans="1:16" ht="12.75">
      <c r="A13" s="1" t="s">
        <v>429</v>
      </c>
      <c r="B13" s="1"/>
      <c r="C13" s="1">
        <v>194.9</v>
      </c>
      <c r="D13" s="1">
        <v>194.9</v>
      </c>
      <c r="E13" s="1">
        <v>194.9</v>
      </c>
      <c r="F13" s="1">
        <v>194.9</v>
      </c>
      <c r="G13" s="1">
        <v>194.9</v>
      </c>
      <c r="H13" s="1">
        <v>135.55</v>
      </c>
      <c r="I13" s="1">
        <v>614.34</v>
      </c>
      <c r="J13" s="1">
        <v>614.34</v>
      </c>
      <c r="K13" s="1"/>
      <c r="L13" s="1"/>
      <c r="M13" s="1"/>
      <c r="N13" s="1"/>
      <c r="O13" s="1"/>
      <c r="P13" s="1">
        <f t="shared" si="0"/>
        <v>2338.73</v>
      </c>
    </row>
    <row r="14" spans="1:16" ht="22.5">
      <c r="A14" s="3" t="s">
        <v>496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si="0"/>
        <v>0</v>
      </c>
    </row>
    <row r="15" spans="1:16" ht="12.75">
      <c r="A15" s="3" t="s">
        <v>501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f t="shared" si="0"/>
        <v>0</v>
      </c>
    </row>
    <row r="16" spans="1:16" ht="12.75">
      <c r="A16" s="3" t="s">
        <v>12</v>
      </c>
      <c r="B16" s="1"/>
      <c r="C16" s="1"/>
      <c r="D16" s="1"/>
      <c r="E16" s="1"/>
      <c r="F16" s="1"/>
      <c r="G16" s="1"/>
      <c r="H16" s="1"/>
      <c r="I16" s="1"/>
      <c r="J16" s="1">
        <v>103.54</v>
      </c>
      <c r="K16" s="1"/>
      <c r="L16" s="1"/>
      <c r="M16" s="1"/>
      <c r="N16" s="1"/>
      <c r="O16" s="1"/>
      <c r="P16" s="1">
        <v>103.54</v>
      </c>
    </row>
    <row r="17" spans="1:16" ht="22.5">
      <c r="A17" s="3" t="s">
        <v>746</v>
      </c>
      <c r="B17" s="1"/>
      <c r="C17" s="1"/>
      <c r="D17" s="1"/>
      <c r="E17" s="1"/>
      <c r="F17" s="1"/>
      <c r="G17" s="1"/>
      <c r="H17" s="1">
        <v>55</v>
      </c>
      <c r="I17" s="1"/>
      <c r="J17" s="1"/>
      <c r="K17" s="1"/>
      <c r="L17" s="1"/>
      <c r="M17" s="1"/>
      <c r="N17" s="1"/>
      <c r="O17" s="1"/>
      <c r="P17" s="1">
        <v>55</v>
      </c>
    </row>
    <row r="18" spans="1:16" ht="12.75">
      <c r="A18" s="3" t="s">
        <v>702</v>
      </c>
      <c r="B18" s="1"/>
      <c r="C18" s="1"/>
      <c r="D18" s="1"/>
      <c r="E18" s="1"/>
      <c r="F18" s="1">
        <v>706.52</v>
      </c>
      <c r="G18" s="1"/>
      <c r="H18" s="1"/>
      <c r="I18" s="1"/>
      <c r="J18" s="1"/>
      <c r="K18" s="1"/>
      <c r="L18" s="1"/>
      <c r="M18" s="1"/>
      <c r="N18" s="1"/>
      <c r="O18" s="1"/>
      <c r="P18" s="1">
        <v>706.52</v>
      </c>
    </row>
    <row r="19" spans="1:16" ht="12.75">
      <c r="A19" s="3" t="s">
        <v>490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f t="shared" si="0"/>
        <v>0</v>
      </c>
    </row>
    <row r="20" spans="1:16" ht="12.75">
      <c r="A20" s="3" t="s">
        <v>53</v>
      </c>
      <c r="B20" s="1"/>
      <c r="C20" s="1"/>
      <c r="D20" s="1"/>
      <c r="E20" s="1"/>
      <c r="F20" s="1"/>
      <c r="G20" s="1"/>
      <c r="H20" s="1"/>
      <c r="I20" s="1"/>
      <c r="J20" s="1">
        <v>1611.04</v>
      </c>
      <c r="K20" s="1"/>
      <c r="L20" s="1"/>
      <c r="M20" s="1"/>
      <c r="N20" s="1"/>
      <c r="O20" s="1"/>
      <c r="P20" s="1">
        <v>1611.04</v>
      </c>
    </row>
    <row r="21" spans="1:16" ht="22.5">
      <c r="A21" s="3" t="s">
        <v>63</v>
      </c>
      <c r="B21" s="1"/>
      <c r="C21" s="1"/>
      <c r="D21" s="1"/>
      <c r="E21" s="1"/>
      <c r="F21" s="1"/>
      <c r="G21" s="1"/>
      <c r="H21" s="1"/>
      <c r="I21" s="1">
        <v>1202.5</v>
      </c>
      <c r="J21" s="1"/>
      <c r="K21" s="1"/>
      <c r="L21" s="1"/>
      <c r="M21" s="1"/>
      <c r="N21" s="1"/>
      <c r="O21" s="1"/>
      <c r="P21" s="1">
        <v>1202.5</v>
      </c>
    </row>
    <row r="22" spans="1:16" ht="22.5">
      <c r="A22" s="3" t="s">
        <v>19</v>
      </c>
      <c r="B22" s="1"/>
      <c r="C22" s="1"/>
      <c r="D22" s="1"/>
      <c r="E22" s="1"/>
      <c r="F22" s="1"/>
      <c r="G22" s="1"/>
      <c r="H22" s="1"/>
      <c r="I22" s="1"/>
      <c r="J22" s="1">
        <v>2683.18</v>
      </c>
      <c r="K22" s="1"/>
      <c r="L22" s="1"/>
      <c r="M22" s="1"/>
      <c r="N22" s="1"/>
      <c r="O22" s="1"/>
      <c r="P22" s="1">
        <v>2683.18</v>
      </c>
    </row>
    <row r="23" spans="1:16" ht="12.75">
      <c r="A23" s="3" t="s">
        <v>1</v>
      </c>
      <c r="B23" s="1"/>
      <c r="C23" s="1"/>
      <c r="D23" s="1"/>
      <c r="E23" s="1"/>
      <c r="F23" s="1"/>
      <c r="G23" s="1"/>
      <c r="H23" s="1">
        <v>3833.33</v>
      </c>
      <c r="I23" s="1"/>
      <c r="J23" s="1"/>
      <c r="K23" s="1"/>
      <c r="L23" s="1"/>
      <c r="M23" s="1"/>
      <c r="N23" s="1"/>
      <c r="O23" s="1"/>
      <c r="P23" s="1">
        <v>3833.33</v>
      </c>
    </row>
    <row r="24" spans="1:16" ht="12.75">
      <c r="A24" s="3" t="s">
        <v>8</v>
      </c>
      <c r="B24" s="1"/>
      <c r="C24" s="1"/>
      <c r="D24" s="1"/>
      <c r="E24" s="1"/>
      <c r="F24" s="1"/>
      <c r="G24" s="1"/>
      <c r="H24" s="1"/>
      <c r="I24" s="1"/>
      <c r="J24" s="1">
        <v>621.24</v>
      </c>
      <c r="K24" s="1"/>
      <c r="L24" s="1"/>
      <c r="M24" s="1"/>
      <c r="N24" s="1"/>
      <c r="O24" s="1"/>
      <c r="P24" s="1">
        <v>621.24</v>
      </c>
    </row>
    <row r="25" spans="1:16" ht="12.75">
      <c r="A25" s="3" t="s">
        <v>20</v>
      </c>
      <c r="B25" s="1"/>
      <c r="C25" s="1"/>
      <c r="D25" s="1"/>
      <c r="E25" s="1"/>
      <c r="F25" s="1"/>
      <c r="G25" s="1"/>
      <c r="H25" s="1"/>
      <c r="I25" s="1"/>
      <c r="J25" s="1">
        <v>282.08</v>
      </c>
      <c r="K25" s="1"/>
      <c r="L25" s="1"/>
      <c r="M25" s="1"/>
      <c r="N25" s="1"/>
      <c r="O25" s="1"/>
      <c r="P25" s="1">
        <v>282.08</v>
      </c>
    </row>
    <row r="26" spans="1:16" ht="12.75">
      <c r="A26" s="3" t="s">
        <v>8</v>
      </c>
      <c r="B26" s="1"/>
      <c r="C26" s="1"/>
      <c r="D26" s="1"/>
      <c r="E26" s="1"/>
      <c r="F26" s="1"/>
      <c r="G26" s="1"/>
      <c r="H26" s="1"/>
      <c r="I26" s="1"/>
      <c r="J26" s="1">
        <v>207.08</v>
      </c>
      <c r="K26" s="1"/>
      <c r="L26" s="1"/>
      <c r="M26" s="1"/>
      <c r="N26" s="1"/>
      <c r="O26" s="1"/>
      <c r="P26" s="1">
        <v>207.08</v>
      </c>
    </row>
    <row r="27" spans="1:16" ht="12.75">
      <c r="A27" s="3" t="s">
        <v>16</v>
      </c>
      <c r="B27" s="1"/>
      <c r="C27" s="1"/>
      <c r="D27" s="1"/>
      <c r="E27" s="1"/>
      <c r="F27" s="1"/>
      <c r="G27" s="1"/>
      <c r="H27" s="1"/>
      <c r="I27" s="1"/>
      <c r="J27" s="1">
        <v>1692.48</v>
      </c>
      <c r="K27" s="1"/>
      <c r="L27" s="1"/>
      <c r="M27" s="1"/>
      <c r="N27" s="1"/>
      <c r="O27" s="1"/>
      <c r="P27" s="1">
        <v>1692.48</v>
      </c>
    </row>
    <row r="28" spans="1:16" ht="22.5">
      <c r="A28" s="3" t="s">
        <v>15</v>
      </c>
      <c r="B28" s="1"/>
      <c r="C28" s="1"/>
      <c r="D28" s="1"/>
      <c r="E28" s="1"/>
      <c r="F28" s="1"/>
      <c r="G28" s="1"/>
      <c r="H28" s="1"/>
      <c r="I28" s="1"/>
      <c r="J28" s="1">
        <v>103.54</v>
      </c>
      <c r="K28" s="1"/>
      <c r="L28" s="1"/>
      <c r="M28" s="1"/>
      <c r="N28" s="1"/>
      <c r="O28" s="1"/>
      <c r="P28" s="1">
        <v>103.54</v>
      </c>
    </row>
    <row r="29" spans="1:16" ht="22.5">
      <c r="A29" s="3" t="s">
        <v>531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>
        <f t="shared" si="0"/>
        <v>0</v>
      </c>
    </row>
    <row r="30" spans="1:16" ht="12.75">
      <c r="A30" s="3" t="s">
        <v>787</v>
      </c>
      <c r="B30" s="1"/>
      <c r="C30" s="1"/>
      <c r="D30" s="1"/>
      <c r="E30" s="1"/>
      <c r="F30" s="1"/>
      <c r="G30" s="1"/>
      <c r="H30" s="1">
        <v>1307.16</v>
      </c>
      <c r="I30" s="1"/>
      <c r="J30" s="1"/>
      <c r="K30" s="1"/>
      <c r="L30" s="1"/>
      <c r="M30" s="1"/>
      <c r="N30" s="1"/>
      <c r="O30" s="1"/>
      <c r="P30" s="1">
        <v>1307.16</v>
      </c>
    </row>
    <row r="31" spans="1:16" ht="12.75">
      <c r="A31" s="3" t="s">
        <v>540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>
        <f t="shared" si="0"/>
        <v>0</v>
      </c>
    </row>
    <row r="32" spans="1:16" ht="33.75">
      <c r="A32" s="3" t="s">
        <v>785</v>
      </c>
      <c r="B32" s="1"/>
      <c r="C32" s="1"/>
      <c r="D32" s="1"/>
      <c r="E32" s="1"/>
      <c r="F32" s="1"/>
      <c r="G32" s="1"/>
      <c r="H32" s="1">
        <v>191.67</v>
      </c>
      <c r="I32" s="1"/>
      <c r="J32" s="1"/>
      <c r="K32" s="1"/>
      <c r="L32" s="1"/>
      <c r="M32" s="1"/>
      <c r="N32" s="1"/>
      <c r="O32" s="1"/>
      <c r="P32" s="1">
        <v>191.67</v>
      </c>
    </row>
    <row r="33" spans="1:16" ht="22.5">
      <c r="A33" s="3" t="s">
        <v>764</v>
      </c>
      <c r="B33" s="1"/>
      <c r="C33" s="1"/>
      <c r="D33" s="1"/>
      <c r="E33" s="1"/>
      <c r="F33" s="1"/>
      <c r="G33" s="1"/>
      <c r="H33" s="1">
        <v>828.32</v>
      </c>
      <c r="I33" s="1"/>
      <c r="J33" s="1"/>
      <c r="K33" s="1"/>
      <c r="L33" s="1"/>
      <c r="M33" s="1"/>
      <c r="N33" s="1"/>
      <c r="O33" s="1"/>
      <c r="P33" s="1">
        <v>828.32</v>
      </c>
    </row>
    <row r="34" spans="1:16" ht="22.5">
      <c r="A34" s="3" t="s">
        <v>317</v>
      </c>
      <c r="B34" s="1"/>
      <c r="C34" s="1"/>
      <c r="D34" s="1"/>
      <c r="E34" s="1"/>
      <c r="F34" s="1">
        <v>1722.39</v>
      </c>
      <c r="G34" s="1"/>
      <c r="H34" s="1"/>
      <c r="I34" s="1"/>
      <c r="J34" s="1"/>
      <c r="K34" s="1"/>
      <c r="L34" s="1"/>
      <c r="M34" s="1"/>
      <c r="N34" s="1"/>
      <c r="O34" s="1"/>
      <c r="P34" s="1">
        <f t="shared" si="0"/>
        <v>1722.39</v>
      </c>
    </row>
    <row r="35" spans="1:16" ht="22.5">
      <c r="A35" s="3" t="s">
        <v>318</v>
      </c>
      <c r="B35" s="1"/>
      <c r="C35" s="1"/>
      <c r="D35" s="1"/>
      <c r="E35" s="1"/>
      <c r="F35" s="1">
        <v>207.08</v>
      </c>
      <c r="G35" s="1"/>
      <c r="H35" s="1"/>
      <c r="I35" s="1"/>
      <c r="J35" s="1"/>
      <c r="K35" s="1"/>
      <c r="L35" s="1"/>
      <c r="M35" s="1"/>
      <c r="N35" s="1"/>
      <c r="O35" s="1"/>
      <c r="P35" s="1">
        <f t="shared" si="0"/>
        <v>207.08</v>
      </c>
    </row>
    <row r="36" spans="1:16" ht="22.5">
      <c r="A36" s="3" t="s">
        <v>319</v>
      </c>
      <c r="B36" s="1"/>
      <c r="C36" s="1"/>
      <c r="D36" s="1"/>
      <c r="E36" s="1">
        <v>932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>
        <f t="shared" si="0"/>
        <v>932</v>
      </c>
    </row>
    <row r="37" spans="1:16" ht="12.75">
      <c r="A37" s="3" t="s">
        <v>320</v>
      </c>
      <c r="B37" s="1"/>
      <c r="C37" s="1"/>
      <c r="D37" s="1"/>
      <c r="E37" s="1">
        <v>3313.28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>
        <f t="shared" si="0"/>
        <v>3313.28</v>
      </c>
    </row>
    <row r="38" spans="1:16" ht="12.75">
      <c r="A38" s="3" t="s">
        <v>321</v>
      </c>
      <c r="B38" s="1"/>
      <c r="C38" s="1">
        <v>207.08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>
        <f t="shared" si="0"/>
        <v>207.08</v>
      </c>
    </row>
    <row r="39" spans="1:16" ht="12.75">
      <c r="A39" s="3" t="s">
        <v>110</v>
      </c>
      <c r="B39" s="1"/>
      <c r="C39" s="1"/>
      <c r="D39" s="1"/>
      <c r="E39" s="1"/>
      <c r="F39" s="1"/>
      <c r="G39" s="1"/>
      <c r="H39" s="1"/>
      <c r="I39" s="1">
        <v>2339.64</v>
      </c>
      <c r="J39" s="1"/>
      <c r="K39" s="1"/>
      <c r="L39" s="1"/>
      <c r="M39" s="1"/>
      <c r="N39" s="1"/>
      <c r="O39" s="1"/>
      <c r="P39" s="1">
        <v>2339.64</v>
      </c>
    </row>
    <row r="40" spans="1:16" ht="33.75">
      <c r="A40" s="3" t="s">
        <v>322</v>
      </c>
      <c r="B40" s="1"/>
      <c r="C40" s="1">
        <v>1692.48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>
        <f t="shared" si="0"/>
        <v>1692.48</v>
      </c>
    </row>
    <row r="41" spans="1:16" ht="12.75">
      <c r="A41" s="3" t="s">
        <v>497</v>
      </c>
      <c r="B41" s="1"/>
      <c r="C41" s="1"/>
      <c r="D41" s="1"/>
      <c r="E41" s="1"/>
      <c r="F41" s="1"/>
      <c r="G41" s="1"/>
      <c r="H41" s="1"/>
      <c r="I41" s="1">
        <f>16944+2942.51+2303.64</f>
        <v>22190.15</v>
      </c>
      <c r="J41" s="1"/>
      <c r="K41" s="1"/>
      <c r="L41" s="1"/>
      <c r="M41" s="1"/>
      <c r="N41" s="1"/>
      <c r="O41" s="1"/>
      <c r="P41" s="1">
        <f t="shared" si="0"/>
        <v>22190.15</v>
      </c>
    </row>
    <row r="42" spans="1:16" ht="12.75">
      <c r="A42" s="3" t="s">
        <v>323</v>
      </c>
      <c r="B42" s="1"/>
      <c r="C42" s="1">
        <v>828.32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>
        <f t="shared" si="0"/>
        <v>828.32</v>
      </c>
    </row>
    <row r="43" spans="1:16" ht="22.5">
      <c r="A43" s="3" t="s">
        <v>324</v>
      </c>
      <c r="B43" s="1"/>
      <c r="C43" s="1">
        <v>496.16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>
        <f t="shared" si="0"/>
        <v>496.16</v>
      </c>
    </row>
    <row r="44" spans="1:16" ht="12.75">
      <c r="A44" s="3" t="s">
        <v>657</v>
      </c>
      <c r="B44" s="1"/>
      <c r="C44" s="1"/>
      <c r="D44" s="1"/>
      <c r="E44" s="1"/>
      <c r="F44" s="1"/>
      <c r="G44" s="1">
        <v>414.16</v>
      </c>
      <c r="H44" s="1"/>
      <c r="I44" s="1"/>
      <c r="J44" s="1"/>
      <c r="K44" s="1"/>
      <c r="L44" s="1"/>
      <c r="M44" s="1"/>
      <c r="N44" s="1"/>
      <c r="O44" s="1"/>
      <c r="P44" s="1">
        <f>SUM(C44:O44)</f>
        <v>414.16</v>
      </c>
    </row>
    <row r="45" spans="1:16" ht="12.75">
      <c r="A45" s="3" t="s">
        <v>325</v>
      </c>
      <c r="B45" s="1"/>
      <c r="C45" s="1">
        <v>242.08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>
        <f t="shared" si="0"/>
        <v>242.08</v>
      </c>
    </row>
    <row r="46" spans="1:16" ht="12.75">
      <c r="A46" s="3" t="s">
        <v>650</v>
      </c>
      <c r="B46" s="1"/>
      <c r="C46" s="1"/>
      <c r="D46" s="1"/>
      <c r="E46" s="1"/>
      <c r="F46" s="1"/>
      <c r="G46" s="1">
        <v>414.16</v>
      </c>
      <c r="H46" s="1"/>
      <c r="I46" s="1"/>
      <c r="J46" s="1"/>
      <c r="K46" s="1"/>
      <c r="L46" s="1"/>
      <c r="M46" s="1"/>
      <c r="N46" s="1"/>
      <c r="O46" s="1"/>
      <c r="P46" s="1">
        <f>SUM(C46:O46)</f>
        <v>414.16</v>
      </c>
    </row>
    <row r="47" spans="1:16" ht="12.75">
      <c r="A47" s="1" t="s">
        <v>492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>
        <f t="shared" si="0"/>
        <v>0</v>
      </c>
    </row>
    <row r="48" spans="1:16" ht="12.75">
      <c r="A48" s="1" t="s">
        <v>493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>
        <f t="shared" si="0"/>
        <v>0</v>
      </c>
    </row>
    <row r="49" spans="1:16" ht="12.75">
      <c r="A49" s="3" t="s">
        <v>494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>
        <f t="shared" si="0"/>
        <v>0</v>
      </c>
    </row>
    <row r="50" spans="1:16" ht="12.75">
      <c r="A50" s="3" t="s">
        <v>326</v>
      </c>
      <c r="B50" s="1"/>
      <c r="C50" s="1">
        <v>1500.16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>
        <f t="shared" si="0"/>
        <v>1500.16</v>
      </c>
    </row>
    <row r="51" spans="1:16" ht="12.75">
      <c r="A51" s="3" t="s">
        <v>700</v>
      </c>
      <c r="B51" s="1"/>
      <c r="C51" s="1"/>
      <c r="D51" s="1"/>
      <c r="E51" s="1"/>
      <c r="F51" s="1">
        <v>828.32</v>
      </c>
      <c r="G51" s="1"/>
      <c r="H51" s="1"/>
      <c r="I51" s="1"/>
      <c r="J51" s="1"/>
      <c r="K51" s="1"/>
      <c r="L51" s="1"/>
      <c r="M51" s="1"/>
      <c r="N51" s="1"/>
      <c r="O51" s="1"/>
      <c r="P51" s="1">
        <f>SUM(C51:O51)</f>
        <v>828.32</v>
      </c>
    </row>
    <row r="52" spans="1:16" ht="12.75">
      <c r="A52" s="3" t="s">
        <v>708</v>
      </c>
      <c r="B52" s="1"/>
      <c r="C52" s="1"/>
      <c r="D52" s="1"/>
      <c r="E52" s="1"/>
      <c r="F52" s="1">
        <v>1222.32</v>
      </c>
      <c r="G52" s="1"/>
      <c r="H52" s="1"/>
      <c r="I52" s="1"/>
      <c r="J52" s="1"/>
      <c r="K52" s="1"/>
      <c r="L52" s="1"/>
      <c r="M52" s="1"/>
      <c r="N52" s="1"/>
      <c r="O52" s="1"/>
      <c r="P52" s="1">
        <f>SUM(C52:O52)</f>
        <v>1222.32</v>
      </c>
    </row>
    <row r="53" spans="1:16" ht="12.75">
      <c r="A53" s="3" t="s">
        <v>722</v>
      </c>
      <c r="B53" s="1"/>
      <c r="C53" s="1"/>
      <c r="D53" s="1"/>
      <c r="E53" s="1"/>
      <c r="F53" s="1">
        <v>828.32</v>
      </c>
      <c r="G53" s="1"/>
      <c r="H53" s="1"/>
      <c r="I53" s="1"/>
      <c r="J53" s="1"/>
      <c r="K53" s="1"/>
      <c r="L53" s="1"/>
      <c r="M53" s="1"/>
      <c r="N53" s="1"/>
      <c r="O53" s="1"/>
      <c r="P53" s="1">
        <v>828.32</v>
      </c>
    </row>
    <row r="54" spans="1:16" ht="12.75" customHeight="1">
      <c r="A54" s="3" t="s">
        <v>327</v>
      </c>
      <c r="B54" s="1"/>
      <c r="C54" s="1">
        <v>1754.32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>
        <f t="shared" si="0"/>
        <v>1754.32</v>
      </c>
    </row>
    <row r="55" spans="1:16" ht="12.75">
      <c r="A55" s="3" t="s">
        <v>630</v>
      </c>
      <c r="B55" s="1"/>
      <c r="C55" s="1"/>
      <c r="D55" s="1"/>
      <c r="E55" s="1"/>
      <c r="F55" s="1"/>
      <c r="G55" s="1">
        <v>1656.64</v>
      </c>
      <c r="H55" s="1"/>
      <c r="I55" s="1"/>
      <c r="J55" s="1"/>
      <c r="K55" s="1"/>
      <c r="L55" s="1"/>
      <c r="M55" s="1"/>
      <c r="N55" s="1"/>
      <c r="O55" s="1"/>
      <c r="P55" s="1">
        <f t="shared" si="0"/>
        <v>1656.64</v>
      </c>
    </row>
    <row r="56" spans="1:16" ht="12.75">
      <c r="A56" s="3" t="s">
        <v>792</v>
      </c>
      <c r="B56" s="1"/>
      <c r="C56" s="1"/>
      <c r="D56" s="1"/>
      <c r="E56" s="1"/>
      <c r="F56" s="1"/>
      <c r="G56" s="1"/>
      <c r="H56" s="1">
        <v>14000</v>
      </c>
      <c r="I56" s="1"/>
      <c r="J56" s="1"/>
      <c r="K56" s="1"/>
      <c r="L56" s="1"/>
      <c r="M56" s="1"/>
      <c r="N56" s="1"/>
      <c r="O56" s="1"/>
      <c r="P56" s="1">
        <v>14000</v>
      </c>
    </row>
    <row r="57" spans="1:16" ht="12.75">
      <c r="A57" s="3" t="s">
        <v>528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>
        <f t="shared" si="0"/>
        <v>0</v>
      </c>
    </row>
    <row r="58" spans="1:16" ht="12.75">
      <c r="A58" s="3" t="s">
        <v>622</v>
      </c>
      <c r="B58" s="1"/>
      <c r="C58" s="1"/>
      <c r="D58" s="1"/>
      <c r="E58" s="1"/>
      <c r="F58" s="1"/>
      <c r="G58" s="1">
        <v>414.16</v>
      </c>
      <c r="H58" s="1"/>
      <c r="I58" s="1"/>
      <c r="J58" s="1"/>
      <c r="K58" s="1"/>
      <c r="L58" s="1"/>
      <c r="M58" s="1"/>
      <c r="N58" s="1"/>
      <c r="O58" s="1"/>
      <c r="P58" s="1">
        <f t="shared" si="0"/>
        <v>414.16</v>
      </c>
    </row>
    <row r="59" spans="1:16" ht="12.75">
      <c r="A59" s="1" t="s">
        <v>415</v>
      </c>
      <c r="B59" s="1"/>
      <c r="C59" s="1">
        <f aca="true" t="shared" si="1" ref="C59:O59">SUM(C4:C58)</f>
        <v>40563.51400000002</v>
      </c>
      <c r="D59" s="1">
        <f t="shared" si="1"/>
        <v>33588.706000000006</v>
      </c>
      <c r="E59" s="1">
        <f t="shared" si="1"/>
        <v>37833.986000000004</v>
      </c>
      <c r="F59" s="1">
        <f t="shared" si="1"/>
        <v>39103.656</v>
      </c>
      <c r="G59" s="1">
        <f t="shared" si="1"/>
        <v>36487.826000000015</v>
      </c>
      <c r="H59" s="1">
        <f t="shared" si="1"/>
        <v>53744.840000000004</v>
      </c>
      <c r="I59" s="1">
        <f t="shared" si="1"/>
        <v>59740.439999999995</v>
      </c>
      <c r="J59" s="1">
        <f t="shared" si="1"/>
        <v>41312.33</v>
      </c>
      <c r="K59" s="1">
        <f t="shared" si="1"/>
        <v>0</v>
      </c>
      <c r="L59" s="1">
        <f t="shared" si="1"/>
        <v>0</v>
      </c>
      <c r="M59" s="1">
        <f t="shared" si="1"/>
        <v>0</v>
      </c>
      <c r="N59" s="1">
        <f t="shared" si="1"/>
        <v>0</v>
      </c>
      <c r="O59" s="1">
        <f t="shared" si="1"/>
        <v>0</v>
      </c>
      <c r="P59" s="1">
        <f>SUM(P4:P58)</f>
        <v>342375.29799999995</v>
      </c>
    </row>
    <row r="60" spans="1:16" ht="12.75">
      <c r="A60" s="1" t="s">
        <v>419</v>
      </c>
      <c r="B60" s="1"/>
      <c r="C60" s="1">
        <v>44281.78</v>
      </c>
      <c r="D60" s="1">
        <v>54510.61</v>
      </c>
      <c r="E60" s="1">
        <v>66140</v>
      </c>
      <c r="F60" s="1">
        <v>56417.88</v>
      </c>
      <c r="G60" s="1">
        <v>45399.15</v>
      </c>
      <c r="H60" s="1">
        <v>60218.45</v>
      </c>
      <c r="I60" s="1">
        <v>60573.75</v>
      </c>
      <c r="J60" s="1">
        <v>59753.8</v>
      </c>
      <c r="K60" s="1"/>
      <c r="L60" s="1"/>
      <c r="M60" s="1"/>
      <c r="N60" s="1"/>
      <c r="O60" s="1"/>
      <c r="P60" s="1">
        <f>SUM(C60:O60)+P63</f>
        <v>453223.92000000004</v>
      </c>
    </row>
    <row r="61" spans="1:16" s="12" customFormat="1" ht="12.75">
      <c r="A61" s="2" t="s">
        <v>420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>
        <f>P60+P1+P62+P63-P59</f>
        <v>140459.1220000001</v>
      </c>
    </row>
    <row r="62" spans="1:16" s="12" customFormat="1" ht="12.75">
      <c r="A62" s="2" t="s">
        <v>689</v>
      </c>
      <c r="B62" s="2"/>
      <c r="C62" s="2"/>
      <c r="D62" s="2"/>
      <c r="E62" s="2"/>
      <c r="F62" s="2">
        <v>378</v>
      </c>
      <c r="G62" s="2"/>
      <c r="H62" s="2">
        <v>400</v>
      </c>
      <c r="I62" s="2"/>
      <c r="J62" s="2">
        <v>240</v>
      </c>
      <c r="K62" s="2"/>
      <c r="L62" s="2"/>
      <c r="M62" s="2"/>
      <c r="N62" s="2"/>
      <c r="O62" s="2"/>
      <c r="P62" s="2">
        <f>SUM(C62:O62)</f>
        <v>1018</v>
      </c>
    </row>
    <row r="63" spans="1:16" ht="12.75">
      <c r="A63" s="1" t="s">
        <v>691</v>
      </c>
      <c r="B63" s="1"/>
      <c r="C63" s="1"/>
      <c r="D63" s="1"/>
      <c r="E63" s="1"/>
      <c r="F63" s="1">
        <v>3675</v>
      </c>
      <c r="G63" s="1">
        <v>1513.5</v>
      </c>
      <c r="H63" s="1">
        <v>600</v>
      </c>
      <c r="I63" s="1"/>
      <c r="J63" s="1">
        <v>140</v>
      </c>
      <c r="K63" s="1"/>
      <c r="L63" s="1"/>
      <c r="M63" s="1"/>
      <c r="N63" s="1"/>
      <c r="O63" s="1"/>
      <c r="P63" s="1">
        <f>SUM(C63:O63)</f>
        <v>5928.5</v>
      </c>
    </row>
    <row r="64" spans="2:6" ht="12.75">
      <c r="B64" s="62" t="s">
        <v>476</v>
      </c>
      <c r="C64" s="63"/>
      <c r="D64" s="63"/>
      <c r="E64" s="63"/>
      <c r="F64" s="64"/>
    </row>
    <row r="65" ht="12.75">
      <c r="G65" s="14" t="s">
        <v>428</v>
      </c>
    </row>
  </sheetData>
  <sheetProtection/>
  <mergeCells count="1">
    <mergeCell ref="B64:F64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pane xSplit="2" ySplit="21" topLeftCell="C40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O20" sqref="O20"/>
    </sheetView>
  </sheetViews>
  <sheetFormatPr defaultColWidth="9.00390625" defaultRowHeight="12.75"/>
  <cols>
    <col min="1" max="1" width="34.375" style="14" customWidth="1"/>
    <col min="2" max="2" width="11.125" style="14" customWidth="1"/>
    <col min="3" max="3" width="12.375" style="14" customWidth="1"/>
    <col min="4" max="4" width="7.25390625" style="14" customWidth="1"/>
    <col min="5" max="5" width="8.75390625" style="14" customWidth="1"/>
    <col min="6" max="6" width="8.625" style="14" customWidth="1"/>
    <col min="7" max="7" width="7.25390625" style="14" customWidth="1"/>
    <col min="8" max="8" width="8.375" style="14" customWidth="1"/>
    <col min="9" max="9" width="9.125" style="14" customWidth="1"/>
    <col min="10" max="10" width="7.25390625" style="14" customWidth="1"/>
    <col min="11" max="11" width="9.125" style="14" customWidth="1"/>
    <col min="12" max="12" width="10.25390625" style="14" customWidth="1"/>
    <col min="13" max="16384" width="9.125" style="14" customWidth="1"/>
  </cols>
  <sheetData>
    <row r="1" spans="1:17" s="12" customFormat="1" ht="12.75">
      <c r="A1" s="2" t="s">
        <v>422</v>
      </c>
      <c r="B1" s="2"/>
      <c r="C1" s="2">
        <v>1856</v>
      </c>
      <c r="D1" s="2"/>
      <c r="E1" s="2"/>
      <c r="F1" s="2"/>
      <c r="G1" s="2"/>
      <c r="H1" s="2"/>
      <c r="I1" s="2"/>
      <c r="J1" s="2"/>
      <c r="K1" s="2"/>
      <c r="L1" s="2" t="s">
        <v>449</v>
      </c>
      <c r="M1" s="2" t="s">
        <v>601</v>
      </c>
      <c r="N1" s="2"/>
      <c r="O1" s="2"/>
      <c r="P1" s="2"/>
      <c r="Q1" s="2">
        <v>-52164.05</v>
      </c>
    </row>
    <row r="2" spans="1:17" ht="12.75">
      <c r="A2" s="1" t="s">
        <v>421</v>
      </c>
      <c r="B2" s="1"/>
      <c r="C2" s="1">
        <f>PRODUCT(C1,10.65)</f>
        <v>19766.4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12" customFormat="1" ht="12.75">
      <c r="A3" s="2" t="s">
        <v>409</v>
      </c>
      <c r="B3" s="2"/>
      <c r="C3" s="2" t="s">
        <v>410</v>
      </c>
      <c r="D3" s="2" t="s">
        <v>434</v>
      </c>
      <c r="E3" s="2" t="s">
        <v>438</v>
      </c>
      <c r="F3" s="2" t="s">
        <v>437</v>
      </c>
      <c r="G3" s="2" t="s">
        <v>436</v>
      </c>
      <c r="H3" s="2" t="s">
        <v>413</v>
      </c>
      <c r="I3" s="2" t="s">
        <v>414</v>
      </c>
      <c r="J3" s="2" t="s">
        <v>416</v>
      </c>
      <c r="K3" s="2" t="s">
        <v>417</v>
      </c>
      <c r="L3" s="2" t="s">
        <v>423</v>
      </c>
      <c r="M3" s="2" t="s">
        <v>424</v>
      </c>
      <c r="N3" s="2" t="s">
        <v>425</v>
      </c>
      <c r="O3" s="2" t="s">
        <v>426</v>
      </c>
      <c r="P3" s="2" t="s">
        <v>434</v>
      </c>
      <c r="Q3" s="2" t="s">
        <v>427</v>
      </c>
    </row>
    <row r="4" spans="1:17" ht="12.75">
      <c r="A4" s="1" t="s">
        <v>411</v>
      </c>
      <c r="B4" s="1"/>
      <c r="C4" s="1">
        <v>1.57</v>
      </c>
      <c r="D4" s="1">
        <f>C4*C1</f>
        <v>2913.92</v>
      </c>
      <c r="E4" s="1">
        <f>C4*C1</f>
        <v>2913.92</v>
      </c>
      <c r="F4" s="1">
        <f>C4*C1</f>
        <v>2913.92</v>
      </c>
      <c r="G4" s="1">
        <f>C4*C1</f>
        <v>2913.92</v>
      </c>
      <c r="H4" s="1">
        <f>C4*C1</f>
        <v>2913.92</v>
      </c>
      <c r="I4" s="1">
        <v>2913.92</v>
      </c>
      <c r="J4" s="1">
        <v>2913.92</v>
      </c>
      <c r="K4" s="1">
        <v>2913.92</v>
      </c>
      <c r="L4" s="1"/>
      <c r="M4" s="1"/>
      <c r="N4" s="1"/>
      <c r="O4" s="1"/>
      <c r="P4" s="1"/>
      <c r="Q4" s="1">
        <f aca="true" t="shared" si="0" ref="Q4:Q11">SUM(D4:P4)</f>
        <v>23311.36</v>
      </c>
    </row>
    <row r="5" spans="1:17" ht="12.75">
      <c r="A5" s="1" t="s">
        <v>451</v>
      </c>
      <c r="B5" s="1"/>
      <c r="C5" s="1">
        <v>1.6</v>
      </c>
      <c r="D5" s="1">
        <f>C5*C1</f>
        <v>2969.6000000000004</v>
      </c>
      <c r="E5" s="1">
        <f>C5*C1</f>
        <v>2969.6000000000004</v>
      </c>
      <c r="F5" s="1">
        <f>C5*C1</f>
        <v>2969.6000000000004</v>
      </c>
      <c r="G5" s="1">
        <f>C5*C1</f>
        <v>2969.6000000000004</v>
      </c>
      <c r="H5" s="1">
        <f>C5*C1</f>
        <v>2969.6000000000004</v>
      </c>
      <c r="I5" s="1">
        <v>2969.6</v>
      </c>
      <c r="J5" s="1">
        <v>2969.6</v>
      </c>
      <c r="K5" s="1">
        <v>2969.6</v>
      </c>
      <c r="L5" s="1"/>
      <c r="M5" s="1"/>
      <c r="N5" s="1"/>
      <c r="O5" s="1"/>
      <c r="P5" s="1"/>
      <c r="Q5" s="1">
        <f t="shared" si="0"/>
        <v>23756.8</v>
      </c>
    </row>
    <row r="6" spans="1:17" ht="12.75">
      <c r="A6" s="1" t="s">
        <v>412</v>
      </c>
      <c r="B6" s="1"/>
      <c r="C6" s="1">
        <v>1.6</v>
      </c>
      <c r="D6" s="1">
        <f>C6*C1</f>
        <v>2969.6000000000004</v>
      </c>
      <c r="E6" s="1">
        <f>C6*C1</f>
        <v>2969.6000000000004</v>
      </c>
      <c r="F6" s="1">
        <f>C6*C1</f>
        <v>2969.6000000000004</v>
      </c>
      <c r="G6" s="1">
        <f>C6*C1</f>
        <v>2969.6000000000004</v>
      </c>
      <c r="H6" s="1">
        <f>C6*C1</f>
        <v>2969.6000000000004</v>
      </c>
      <c r="I6" s="1">
        <v>2969.6</v>
      </c>
      <c r="J6" s="1">
        <v>2969.6</v>
      </c>
      <c r="K6" s="1">
        <v>2969.6</v>
      </c>
      <c r="L6" s="1"/>
      <c r="M6" s="1"/>
      <c r="N6" s="1"/>
      <c r="O6" s="1"/>
      <c r="P6" s="1"/>
      <c r="Q6" s="1">
        <f t="shared" si="0"/>
        <v>23756.8</v>
      </c>
    </row>
    <row r="7" spans="1:17" ht="12.75">
      <c r="A7" s="1" t="s">
        <v>505</v>
      </c>
      <c r="B7" s="1"/>
      <c r="C7" s="1">
        <v>0.44</v>
      </c>
      <c r="D7" s="1">
        <v>816.64</v>
      </c>
      <c r="E7" s="1">
        <v>816.64</v>
      </c>
      <c r="F7" s="1">
        <v>816.64</v>
      </c>
      <c r="G7" s="1">
        <v>816.64</v>
      </c>
      <c r="H7" s="1">
        <v>816.64</v>
      </c>
      <c r="I7" s="1">
        <v>816.64</v>
      </c>
      <c r="J7" s="1">
        <v>816.64</v>
      </c>
      <c r="K7" s="1">
        <v>816.64</v>
      </c>
      <c r="L7" s="1"/>
      <c r="M7" s="1"/>
      <c r="N7" s="1"/>
      <c r="O7" s="1"/>
      <c r="P7" s="1"/>
      <c r="Q7" s="1">
        <f t="shared" si="0"/>
        <v>6533.120000000001</v>
      </c>
    </row>
    <row r="8" spans="1:17" ht="12.75">
      <c r="A8" s="3" t="s">
        <v>279</v>
      </c>
      <c r="B8" s="3"/>
      <c r="C8" s="1"/>
      <c r="D8" s="1">
        <v>500</v>
      </c>
      <c r="E8" s="1">
        <v>500</v>
      </c>
      <c r="F8" s="1">
        <v>500</v>
      </c>
      <c r="G8" s="1">
        <v>500</v>
      </c>
      <c r="H8" s="1">
        <v>0</v>
      </c>
      <c r="I8" s="1"/>
      <c r="J8" s="1"/>
      <c r="K8" s="1"/>
      <c r="L8" s="1"/>
      <c r="M8" s="1"/>
      <c r="N8" s="1"/>
      <c r="O8" s="1"/>
      <c r="P8" s="1"/>
      <c r="Q8" s="1">
        <f t="shared" si="0"/>
        <v>2000</v>
      </c>
    </row>
    <row r="9" spans="1:17" ht="12.75">
      <c r="A9" s="3" t="s">
        <v>253</v>
      </c>
      <c r="B9" s="3"/>
      <c r="C9" s="1"/>
      <c r="D9" s="1">
        <v>2034</v>
      </c>
      <c r="E9" s="1">
        <v>2034</v>
      </c>
      <c r="F9" s="1">
        <v>2034</v>
      </c>
      <c r="G9" s="1">
        <v>2034</v>
      </c>
      <c r="H9" s="1">
        <v>2034</v>
      </c>
      <c r="I9" s="1">
        <v>2034</v>
      </c>
      <c r="J9" s="1">
        <v>2034</v>
      </c>
      <c r="K9" s="1">
        <v>2034</v>
      </c>
      <c r="L9" s="1"/>
      <c r="M9" s="1"/>
      <c r="N9" s="1"/>
      <c r="O9" s="1"/>
      <c r="P9" s="1"/>
      <c r="Q9" s="1">
        <f t="shared" si="0"/>
        <v>16272</v>
      </c>
    </row>
    <row r="10" spans="1:17" ht="12.75">
      <c r="A10" s="3" t="s">
        <v>435</v>
      </c>
      <c r="B10" s="3"/>
      <c r="C10" s="1">
        <v>0.6</v>
      </c>
      <c r="D10" s="1">
        <v>1113.6</v>
      </c>
      <c r="E10" s="1">
        <v>1113.6</v>
      </c>
      <c r="F10" s="1">
        <v>1113.6</v>
      </c>
      <c r="G10" s="1">
        <v>1113.6</v>
      </c>
      <c r="H10" s="1">
        <v>1113.6</v>
      </c>
      <c r="I10" s="1">
        <v>1113.6</v>
      </c>
      <c r="J10" s="1">
        <v>1113.6</v>
      </c>
      <c r="K10" s="1">
        <v>1113.6</v>
      </c>
      <c r="L10" s="1"/>
      <c r="M10" s="1"/>
      <c r="N10" s="1"/>
      <c r="O10" s="1"/>
      <c r="P10" s="1"/>
      <c r="Q10" s="1">
        <f t="shared" si="0"/>
        <v>8908.800000000001</v>
      </c>
    </row>
    <row r="11" spans="1:17" ht="12.75">
      <c r="A11" s="3" t="s">
        <v>479</v>
      </c>
      <c r="B11" s="3"/>
      <c r="C11" s="1"/>
      <c r="D11" s="1">
        <v>2034</v>
      </c>
      <c r="E11" s="1">
        <v>2034</v>
      </c>
      <c r="F11" s="1">
        <v>2034</v>
      </c>
      <c r="G11" s="1">
        <v>2034</v>
      </c>
      <c r="H11" s="1">
        <v>2034</v>
      </c>
      <c r="I11" s="1">
        <v>2034</v>
      </c>
      <c r="J11" s="1">
        <v>2034</v>
      </c>
      <c r="K11" s="1">
        <v>2034</v>
      </c>
      <c r="L11" s="1"/>
      <c r="M11" s="1"/>
      <c r="N11" s="1"/>
      <c r="O11" s="1"/>
      <c r="P11" s="1"/>
      <c r="Q11" s="1">
        <f t="shared" si="0"/>
        <v>16272</v>
      </c>
    </row>
    <row r="12" spans="1:17" ht="12.75">
      <c r="A12" s="3" t="s">
        <v>429</v>
      </c>
      <c r="B12" s="3"/>
      <c r="C12" s="1"/>
      <c r="D12" s="1">
        <v>85.38</v>
      </c>
      <c r="E12" s="1">
        <v>85.38</v>
      </c>
      <c r="F12" s="1">
        <v>85.38</v>
      </c>
      <c r="G12" s="1">
        <v>85.38</v>
      </c>
      <c r="H12" s="1">
        <v>85.38</v>
      </c>
      <c r="I12" s="1">
        <v>59.39</v>
      </c>
      <c r="J12" s="1">
        <v>269.12</v>
      </c>
      <c r="K12" s="1">
        <v>269.12</v>
      </c>
      <c r="L12" s="1"/>
      <c r="M12" s="1"/>
      <c r="N12" s="1"/>
      <c r="O12" s="1"/>
      <c r="P12" s="1"/>
      <c r="Q12" s="1">
        <f>SUM(F12:P12)</f>
        <v>853.77</v>
      </c>
    </row>
    <row r="13" spans="1:17" ht="22.5">
      <c r="A13" s="3" t="s">
        <v>498</v>
      </c>
      <c r="B13" s="3"/>
      <c r="C13" s="1"/>
      <c r="D13" s="1"/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f aca="true" t="shared" si="1" ref="Q13:Q23">SUM(D13:P13)</f>
        <v>0</v>
      </c>
    </row>
    <row r="14" spans="1:17" ht="12.75">
      <c r="A14" s="1" t="s">
        <v>503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f t="shared" si="1"/>
        <v>0</v>
      </c>
    </row>
    <row r="15" spans="1:17" ht="12.75">
      <c r="A15" s="1" t="s">
        <v>632</v>
      </c>
      <c r="B15" s="1"/>
      <c r="C15" s="1"/>
      <c r="D15" s="1"/>
      <c r="E15" s="1"/>
      <c r="F15" s="1"/>
      <c r="G15" s="1">
        <v>207.08</v>
      </c>
      <c r="H15" s="1"/>
      <c r="I15" s="1"/>
      <c r="J15" s="1"/>
      <c r="K15" s="1"/>
      <c r="L15" s="1"/>
      <c r="M15" s="1"/>
      <c r="N15" s="1"/>
      <c r="O15" s="1"/>
      <c r="P15" s="1"/>
      <c r="Q15" s="1">
        <f t="shared" si="1"/>
        <v>207.08</v>
      </c>
    </row>
    <row r="16" spans="1:17" ht="12.75">
      <c r="A16" s="1" t="s">
        <v>560</v>
      </c>
      <c r="B16" s="1"/>
      <c r="C16" s="1"/>
      <c r="D16" s="1"/>
      <c r="E16" s="1"/>
      <c r="F16" s="1"/>
      <c r="G16" s="1">
        <v>828.32</v>
      </c>
      <c r="H16" s="1"/>
      <c r="I16" s="1"/>
      <c r="J16" s="1"/>
      <c r="K16" s="1"/>
      <c r="L16" s="1"/>
      <c r="M16" s="1"/>
      <c r="N16" s="1"/>
      <c r="O16" s="1"/>
      <c r="P16" s="1"/>
      <c r="Q16" s="1">
        <f t="shared" si="1"/>
        <v>828.32</v>
      </c>
    </row>
    <row r="17" spans="1:17" ht="22.5">
      <c r="A17" s="3" t="s">
        <v>642</v>
      </c>
      <c r="B17" s="1"/>
      <c r="C17" s="1"/>
      <c r="D17" s="1"/>
      <c r="E17" s="1"/>
      <c r="F17" s="1"/>
      <c r="G17" s="1"/>
      <c r="H17" s="1">
        <v>12109.92</v>
      </c>
      <c r="I17" s="1"/>
      <c r="J17" s="1"/>
      <c r="K17" s="1"/>
      <c r="L17" s="1"/>
      <c r="M17" s="1"/>
      <c r="N17" s="1"/>
      <c r="O17" s="1"/>
      <c r="P17" s="1"/>
      <c r="Q17" s="1">
        <f t="shared" si="1"/>
        <v>12109.92</v>
      </c>
    </row>
    <row r="18" spans="1:17" ht="22.5">
      <c r="A18" s="3" t="s">
        <v>758</v>
      </c>
      <c r="B18" s="1"/>
      <c r="C18" s="1"/>
      <c r="D18" s="1"/>
      <c r="E18" s="1"/>
      <c r="F18" s="1"/>
      <c r="G18" s="1"/>
      <c r="H18" s="1"/>
      <c r="I18" s="1">
        <v>4350.5</v>
      </c>
      <c r="J18" s="1"/>
      <c r="K18" s="1"/>
      <c r="L18" s="1"/>
      <c r="M18" s="1"/>
      <c r="N18" s="1"/>
      <c r="O18" s="1"/>
      <c r="P18" s="1"/>
      <c r="Q18" s="1">
        <v>4350.5</v>
      </c>
    </row>
    <row r="19" spans="1:17" ht="12.75">
      <c r="A19" s="3" t="s">
        <v>625</v>
      </c>
      <c r="B19" s="1"/>
      <c r="C19" s="1"/>
      <c r="D19" s="1"/>
      <c r="E19" s="1"/>
      <c r="F19" s="1"/>
      <c r="G19" s="1"/>
      <c r="H19" s="1"/>
      <c r="I19" s="1"/>
      <c r="J19" s="1">
        <v>983</v>
      </c>
      <c r="K19" s="1"/>
      <c r="L19" s="1"/>
      <c r="M19" s="1"/>
      <c r="N19" s="1"/>
      <c r="O19" s="1"/>
      <c r="P19" s="1"/>
      <c r="Q19" s="1">
        <v>983</v>
      </c>
    </row>
    <row r="20" spans="1:17" ht="22.5">
      <c r="A20" s="3" t="s">
        <v>57</v>
      </c>
      <c r="B20" s="1"/>
      <c r="C20" s="1"/>
      <c r="D20" s="1"/>
      <c r="E20" s="1"/>
      <c r="F20" s="1"/>
      <c r="G20" s="1"/>
      <c r="H20" s="1"/>
      <c r="I20" s="1"/>
      <c r="J20" s="1">
        <v>2213.82</v>
      </c>
      <c r="K20" s="1"/>
      <c r="L20" s="1"/>
      <c r="M20" s="1"/>
      <c r="N20" s="1"/>
      <c r="O20" s="1"/>
      <c r="P20" s="1"/>
      <c r="Q20" s="1">
        <v>2213.82</v>
      </c>
    </row>
    <row r="21" spans="1:17" ht="12.75">
      <c r="A21" s="1" t="s">
        <v>489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f t="shared" si="1"/>
        <v>0</v>
      </c>
    </row>
    <row r="22" spans="1:17" ht="22.5">
      <c r="A22" s="3" t="s">
        <v>791</v>
      </c>
      <c r="B22" s="1"/>
      <c r="C22" s="1"/>
      <c r="D22" s="1"/>
      <c r="E22" s="1"/>
      <c r="F22" s="1"/>
      <c r="G22" s="1"/>
      <c r="H22" s="1"/>
      <c r="I22" s="1">
        <v>2699.32</v>
      </c>
      <c r="J22" s="1"/>
      <c r="K22" s="1"/>
      <c r="L22" s="1"/>
      <c r="M22" s="1"/>
      <c r="N22" s="1"/>
      <c r="O22" s="1"/>
      <c r="P22" s="1"/>
      <c r="Q22" s="1">
        <v>2699.32</v>
      </c>
    </row>
    <row r="23" spans="1:17" ht="12.75">
      <c r="A23" s="1" t="s">
        <v>490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f t="shared" si="1"/>
        <v>0</v>
      </c>
    </row>
    <row r="24" spans="1:17" ht="22.5">
      <c r="A24" s="3" t="s">
        <v>531</v>
      </c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f>SUM(E24:P24)</f>
        <v>0</v>
      </c>
    </row>
    <row r="25" spans="1:17" ht="12.75">
      <c r="A25" s="3" t="s">
        <v>227</v>
      </c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22.5">
      <c r="A26" s="3" t="s">
        <v>534</v>
      </c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>
        <f>SUM(E26:P26)</f>
        <v>0</v>
      </c>
    </row>
    <row r="27" spans="1:17" ht="12.75">
      <c r="A27" s="1" t="s">
        <v>504</v>
      </c>
      <c r="B27" s="1"/>
      <c r="C27" s="1"/>
      <c r="D27" s="1"/>
      <c r="E27" s="1"/>
      <c r="F27" s="1"/>
      <c r="G27" s="1"/>
      <c r="H27" s="1"/>
      <c r="I27" s="1">
        <v>10713</v>
      </c>
      <c r="J27" s="1"/>
      <c r="K27" s="1"/>
      <c r="L27" s="1"/>
      <c r="M27" s="1"/>
      <c r="N27" s="1"/>
      <c r="O27" s="1"/>
      <c r="P27" s="1"/>
      <c r="Q27" s="1">
        <f>SUM(D27:P27)</f>
        <v>10713</v>
      </c>
    </row>
    <row r="28" spans="1:17" ht="12.75">
      <c r="A28" s="1" t="s">
        <v>499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>
        <f>SUM(D28:P28)</f>
        <v>0</v>
      </c>
    </row>
    <row r="29" spans="1:17" ht="12.75">
      <c r="A29" s="1" t="s">
        <v>492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>
        <f>SUM(C29:P29)</f>
        <v>0</v>
      </c>
    </row>
    <row r="30" spans="1:17" ht="12.75">
      <c r="A30" s="1" t="s">
        <v>493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>
        <f>SUM(D30:P30)</f>
        <v>0</v>
      </c>
    </row>
    <row r="31" spans="1:17" ht="22.5">
      <c r="A31" s="3" t="s">
        <v>328</v>
      </c>
      <c r="B31" s="1"/>
      <c r="C31" s="1"/>
      <c r="D31" s="1">
        <v>984.32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>
        <f>SUM(D31:P31)</f>
        <v>984.32</v>
      </c>
    </row>
    <row r="32" spans="1:17" ht="22.5">
      <c r="A32" s="3" t="s">
        <v>329</v>
      </c>
      <c r="B32" s="1"/>
      <c r="C32" s="1"/>
      <c r="D32" s="1">
        <v>918.48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>
        <v>918.84</v>
      </c>
    </row>
    <row r="33" spans="1:17" ht="12.75">
      <c r="A33" s="3" t="s">
        <v>617</v>
      </c>
      <c r="B33" s="1"/>
      <c r="C33" s="1"/>
      <c r="D33" s="1"/>
      <c r="E33" s="1"/>
      <c r="F33" s="1"/>
      <c r="G33" s="1"/>
      <c r="H33" s="1">
        <v>657.16</v>
      </c>
      <c r="I33" s="1"/>
      <c r="J33" s="1"/>
      <c r="K33" s="1"/>
      <c r="L33" s="1"/>
      <c r="M33" s="1"/>
      <c r="N33" s="1"/>
      <c r="O33" s="1"/>
      <c r="P33" s="1"/>
      <c r="Q33" s="1">
        <f>SUM(D33:P33)</f>
        <v>657.16</v>
      </c>
    </row>
    <row r="34" spans="1:17" ht="22.5">
      <c r="A34" s="3" t="s">
        <v>631</v>
      </c>
      <c r="B34" s="1"/>
      <c r="C34" s="1"/>
      <c r="D34" s="1"/>
      <c r="E34" s="1"/>
      <c r="F34" s="1"/>
      <c r="G34" s="1"/>
      <c r="H34" s="1">
        <v>1831.32</v>
      </c>
      <c r="I34" s="1"/>
      <c r="J34" s="1"/>
      <c r="K34" s="1"/>
      <c r="L34" s="1"/>
      <c r="M34" s="1"/>
      <c r="N34" s="1"/>
      <c r="O34" s="1"/>
      <c r="P34" s="1"/>
      <c r="Q34" s="1">
        <f>SUM(D34:P34)</f>
        <v>1831.32</v>
      </c>
    </row>
    <row r="35" spans="1:17" ht="12.75">
      <c r="A35" s="1" t="s">
        <v>415</v>
      </c>
      <c r="B35" s="1"/>
      <c r="C35" s="1"/>
      <c r="D35" s="1">
        <f>SUM(D4:D34)</f>
        <v>17339.54</v>
      </c>
      <c r="E35" s="1">
        <f aca="true" t="shared" si="2" ref="E35:P35">SUM(E4:E32)</f>
        <v>15436.74</v>
      </c>
      <c r="F35" s="1">
        <f>SUM(F4:F34)</f>
        <v>15436.74</v>
      </c>
      <c r="G35" s="1">
        <f>SUM(G4:G34)</f>
        <v>16472.14</v>
      </c>
      <c r="H35" s="1">
        <f>SUM(H4:H34)</f>
        <v>29535.14</v>
      </c>
      <c r="I35" s="1">
        <f t="shared" si="2"/>
        <v>32673.57</v>
      </c>
      <c r="J35" s="1">
        <f t="shared" si="2"/>
        <v>18317.300000000003</v>
      </c>
      <c r="K35" s="1">
        <f t="shared" si="2"/>
        <v>15120.480000000001</v>
      </c>
      <c r="L35" s="1">
        <f t="shared" si="2"/>
        <v>0</v>
      </c>
      <c r="M35" s="1">
        <f t="shared" si="2"/>
        <v>0</v>
      </c>
      <c r="N35" s="1">
        <f t="shared" si="2"/>
        <v>0</v>
      </c>
      <c r="O35" s="1">
        <f t="shared" si="2"/>
        <v>0</v>
      </c>
      <c r="P35" s="1">
        <f t="shared" si="2"/>
        <v>0</v>
      </c>
      <c r="Q35" s="1">
        <f>SUM(Q4:Q34)</f>
        <v>160161.25000000006</v>
      </c>
    </row>
    <row r="36" spans="1:17" ht="12.75">
      <c r="A36" s="1" t="s">
        <v>419</v>
      </c>
      <c r="B36" s="1"/>
      <c r="C36" s="1"/>
      <c r="D36" s="1">
        <v>16351.59</v>
      </c>
      <c r="E36" s="1">
        <v>20189.72</v>
      </c>
      <c r="F36" s="1">
        <v>22823.44</v>
      </c>
      <c r="G36" s="1">
        <v>21160.84</v>
      </c>
      <c r="H36" s="1">
        <v>23068.22</v>
      </c>
      <c r="I36" s="1">
        <v>18549.01</v>
      </c>
      <c r="J36" s="1">
        <v>22626.25</v>
      </c>
      <c r="K36" s="1">
        <v>18852.85</v>
      </c>
      <c r="L36" s="1"/>
      <c r="M36" s="1"/>
      <c r="N36" s="1"/>
      <c r="O36" s="1"/>
      <c r="P36" s="1"/>
      <c r="Q36" s="1">
        <f>SUM(D36:P36)</f>
        <v>163621.92</v>
      </c>
    </row>
    <row r="37" spans="1:17" ht="12.75">
      <c r="A37" s="14" t="s">
        <v>403</v>
      </c>
      <c r="F37" s="1">
        <v>3086.55</v>
      </c>
      <c r="G37" s="1">
        <v>1552.92</v>
      </c>
      <c r="H37" s="1">
        <f>40040.9+431.2</f>
        <v>40472.1</v>
      </c>
      <c r="I37" s="1">
        <v>431.2</v>
      </c>
      <c r="J37" s="1">
        <v>3092.88</v>
      </c>
      <c r="K37" s="1"/>
      <c r="L37" s="1"/>
      <c r="M37" s="1"/>
      <c r="N37" s="1"/>
      <c r="O37" s="1"/>
      <c r="P37" s="1"/>
      <c r="Q37" s="1">
        <f>SUM(D37:P37)</f>
        <v>48635.649999999994</v>
      </c>
    </row>
    <row r="38" spans="1:17" s="12" customFormat="1" ht="12.75">
      <c r="A38" s="2" t="s">
        <v>420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>
        <f>Q36+Q37+Q39+Q40-Q35+Q1</f>
        <v>6978.769999999946</v>
      </c>
    </row>
    <row r="39" spans="1:17" s="12" customFormat="1" ht="12.75">
      <c r="A39" s="2" t="s">
        <v>692</v>
      </c>
      <c r="B39" s="2"/>
      <c r="C39" s="2"/>
      <c r="D39" s="2"/>
      <c r="E39" s="2"/>
      <c r="F39" s="2"/>
      <c r="G39" s="2">
        <v>378</v>
      </c>
      <c r="H39" s="2"/>
      <c r="I39" s="2">
        <v>400</v>
      </c>
      <c r="J39" s="2"/>
      <c r="K39" s="2">
        <v>240</v>
      </c>
      <c r="L39" s="2"/>
      <c r="M39" s="2"/>
      <c r="N39" s="2"/>
      <c r="O39" s="2"/>
      <c r="P39" s="2"/>
      <c r="Q39" s="2">
        <f>SUM(G39:P39)</f>
        <v>1018</v>
      </c>
    </row>
    <row r="40" spans="1:17" ht="12.75">
      <c r="A40" s="1" t="s">
        <v>691</v>
      </c>
      <c r="B40" s="1"/>
      <c r="C40" s="1"/>
      <c r="D40" s="1"/>
      <c r="E40" s="1"/>
      <c r="F40" s="1"/>
      <c r="G40" s="1">
        <v>3675</v>
      </c>
      <c r="H40" s="1">
        <v>1513.5</v>
      </c>
      <c r="I40" s="1">
        <v>600</v>
      </c>
      <c r="J40" s="1"/>
      <c r="K40" s="1">
        <v>240</v>
      </c>
      <c r="L40" s="1"/>
      <c r="M40" s="1"/>
      <c r="N40" s="1"/>
      <c r="O40" s="1"/>
      <c r="P40" s="1"/>
      <c r="Q40" s="1">
        <f>SUM(G40:P40)</f>
        <v>6028.5</v>
      </c>
    </row>
    <row r="41" spans="1:17" ht="12.75">
      <c r="A41" s="1"/>
      <c r="B41" s="24"/>
      <c r="C41" s="62" t="s">
        <v>476</v>
      </c>
      <c r="D41" s="63"/>
      <c r="E41" s="63"/>
      <c r="F41" s="63"/>
      <c r="G41" s="64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ht="12.75">
      <c r="H44" s="14" t="s">
        <v>428</v>
      </c>
    </row>
  </sheetData>
  <sheetProtection/>
  <mergeCells count="1">
    <mergeCell ref="C41:G41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pane xSplit="4" ySplit="20" topLeftCell="E48" activePane="bottomRight" state="frozen"/>
      <selection pane="topLeft" activeCell="A1" sqref="A1"/>
      <selection pane="topRight" activeCell="E1" sqref="E1"/>
      <selection pane="bottomLeft" activeCell="A18" sqref="A18"/>
      <selection pane="bottomRight" activeCell="O24" sqref="O24"/>
    </sheetView>
  </sheetViews>
  <sheetFormatPr defaultColWidth="9.00390625" defaultRowHeight="12.75"/>
  <cols>
    <col min="1" max="1" width="37.125" style="14" customWidth="1"/>
    <col min="2" max="2" width="16.125" style="14" customWidth="1"/>
    <col min="3" max="3" width="7.25390625" style="14" customWidth="1"/>
    <col min="4" max="4" width="8.75390625" style="14" customWidth="1"/>
    <col min="5" max="5" width="7.125" style="14" customWidth="1"/>
    <col min="6" max="6" width="8.125" style="14" customWidth="1"/>
    <col min="7" max="7" width="8.375" style="14" customWidth="1"/>
    <col min="8" max="8" width="9.125" style="14" customWidth="1"/>
    <col min="9" max="9" width="7.25390625" style="14" customWidth="1"/>
    <col min="10" max="16384" width="9.125" style="14" customWidth="1"/>
  </cols>
  <sheetData>
    <row r="1" spans="1:16" s="12" customFormat="1" ht="12.75">
      <c r="A1" s="2" t="s">
        <v>422</v>
      </c>
      <c r="B1" s="2">
        <v>2679.1</v>
      </c>
      <c r="C1" s="2"/>
      <c r="D1" s="2"/>
      <c r="E1" s="2"/>
      <c r="F1" s="2"/>
      <c r="G1" s="2"/>
      <c r="H1" s="2"/>
      <c r="I1" s="2"/>
      <c r="J1" s="2"/>
      <c r="K1" s="2" t="s">
        <v>440</v>
      </c>
      <c r="L1" s="2" t="s">
        <v>601</v>
      </c>
      <c r="M1" s="2"/>
      <c r="N1" s="2"/>
      <c r="O1" s="2"/>
      <c r="P1" s="2">
        <v>-52164.05</v>
      </c>
    </row>
    <row r="2" spans="1:16" ht="12.75">
      <c r="A2" s="1" t="s">
        <v>421</v>
      </c>
      <c r="B2" s="1">
        <f>PRODUCT(B1,10.65)</f>
        <v>28532.415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2" customFormat="1" ht="12.75">
      <c r="A3" s="2" t="s">
        <v>409</v>
      </c>
      <c r="B3" s="2" t="s">
        <v>410</v>
      </c>
      <c r="C3" s="2" t="s">
        <v>434</v>
      </c>
      <c r="D3" s="2" t="s">
        <v>438</v>
      </c>
      <c r="E3" s="2" t="s">
        <v>437</v>
      </c>
      <c r="F3" s="2" t="s">
        <v>436</v>
      </c>
      <c r="G3" s="2" t="s">
        <v>413</v>
      </c>
      <c r="H3" s="2" t="s">
        <v>414</v>
      </c>
      <c r="I3" s="2" t="s">
        <v>416</v>
      </c>
      <c r="J3" s="2" t="s">
        <v>417</v>
      </c>
      <c r="K3" s="2" t="s">
        <v>423</v>
      </c>
      <c r="L3" s="2" t="s">
        <v>424</v>
      </c>
      <c r="M3" s="2" t="s">
        <v>425</v>
      </c>
      <c r="N3" s="2" t="s">
        <v>426</v>
      </c>
      <c r="O3" s="2" t="s">
        <v>434</v>
      </c>
      <c r="P3" s="2" t="s">
        <v>427</v>
      </c>
    </row>
    <row r="4" spans="1:16" ht="12.75">
      <c r="A4" s="1" t="s">
        <v>411</v>
      </c>
      <c r="B4" s="1">
        <v>1.57</v>
      </c>
      <c r="C4" s="1">
        <f>B4*B1</f>
        <v>4206.187</v>
      </c>
      <c r="D4" s="1">
        <f>B4*B1</f>
        <v>4206.187</v>
      </c>
      <c r="E4" s="1">
        <f>B4*B1</f>
        <v>4206.187</v>
      </c>
      <c r="F4" s="1">
        <f>B4*B1</f>
        <v>4206.187</v>
      </c>
      <c r="G4" s="1">
        <f>B4*B1</f>
        <v>4206.187</v>
      </c>
      <c r="H4" s="1">
        <v>4206.19</v>
      </c>
      <c r="I4" s="1">
        <v>4206.19</v>
      </c>
      <c r="J4" s="1">
        <v>4206.19</v>
      </c>
      <c r="K4" s="1"/>
      <c r="L4" s="1"/>
      <c r="M4" s="1"/>
      <c r="N4" s="1"/>
      <c r="O4" s="1"/>
      <c r="P4" s="1">
        <f aca="true" t="shared" si="0" ref="P4:P12">SUM(C4:O4)</f>
        <v>33649.505</v>
      </c>
    </row>
    <row r="5" spans="1:16" ht="12.75">
      <c r="A5" s="1" t="s">
        <v>451</v>
      </c>
      <c r="B5" s="1">
        <v>1.6</v>
      </c>
      <c r="C5" s="1">
        <f>B5*B1</f>
        <v>4286.56</v>
      </c>
      <c r="D5" s="1">
        <f>B5*B1</f>
        <v>4286.56</v>
      </c>
      <c r="E5" s="1">
        <f>B5*B1</f>
        <v>4286.56</v>
      </c>
      <c r="F5" s="1">
        <f>B5*B1</f>
        <v>4286.56</v>
      </c>
      <c r="G5" s="1">
        <f>B5*B1</f>
        <v>4286.56</v>
      </c>
      <c r="H5" s="1">
        <v>4286.56</v>
      </c>
      <c r="I5" s="1">
        <v>4286.56</v>
      </c>
      <c r="J5" s="1">
        <v>4286.56</v>
      </c>
      <c r="K5" s="1"/>
      <c r="L5" s="1"/>
      <c r="M5" s="1"/>
      <c r="N5" s="1"/>
      <c r="O5" s="1"/>
      <c r="P5" s="1">
        <f t="shared" si="0"/>
        <v>34292.48</v>
      </c>
    </row>
    <row r="6" spans="1:16" ht="12.75">
      <c r="A6" s="1" t="s">
        <v>412</v>
      </c>
      <c r="B6" s="1">
        <v>1.6</v>
      </c>
      <c r="C6" s="1">
        <f>B6*B1</f>
        <v>4286.56</v>
      </c>
      <c r="D6" s="1">
        <f>B6*B1</f>
        <v>4286.56</v>
      </c>
      <c r="E6" s="1">
        <f>B6*B1</f>
        <v>4286.56</v>
      </c>
      <c r="F6" s="1">
        <f>B6*B1</f>
        <v>4286.56</v>
      </c>
      <c r="G6" s="1">
        <f>B6*B1</f>
        <v>4286.56</v>
      </c>
      <c r="H6" s="1">
        <v>4286.56</v>
      </c>
      <c r="I6" s="1">
        <v>4286.56</v>
      </c>
      <c r="J6" s="1">
        <v>4286.56</v>
      </c>
      <c r="K6" s="1"/>
      <c r="L6" s="1"/>
      <c r="M6" s="1"/>
      <c r="N6" s="1"/>
      <c r="O6" s="1"/>
      <c r="P6" s="1">
        <f t="shared" si="0"/>
        <v>34292.48</v>
      </c>
    </row>
    <row r="7" spans="1:16" ht="12.75">
      <c r="A7" s="1" t="s">
        <v>469</v>
      </c>
      <c r="B7" s="1">
        <v>0.44</v>
      </c>
      <c r="C7" s="1">
        <f>B7*B1</f>
        <v>1178.8039999999999</v>
      </c>
      <c r="D7" s="1">
        <f>B7*B1</f>
        <v>1178.8039999999999</v>
      </c>
      <c r="E7" s="1">
        <f>B7*B1</f>
        <v>1178.8039999999999</v>
      </c>
      <c r="F7" s="1">
        <f>B7*B1</f>
        <v>1178.8039999999999</v>
      </c>
      <c r="G7" s="1">
        <f>B7*B1</f>
        <v>1178.8039999999999</v>
      </c>
      <c r="H7" s="1">
        <v>1178.8</v>
      </c>
      <c r="I7" s="1">
        <v>1178.8</v>
      </c>
      <c r="J7" s="1">
        <v>1178.8</v>
      </c>
      <c r="K7" s="1"/>
      <c r="L7" s="1"/>
      <c r="M7" s="1"/>
      <c r="N7" s="1"/>
      <c r="O7" s="1"/>
      <c r="P7" s="1">
        <f t="shared" si="0"/>
        <v>9430.419999999998</v>
      </c>
    </row>
    <row r="8" spans="1:16" ht="12.75">
      <c r="A8" s="1" t="s">
        <v>435</v>
      </c>
      <c r="B8" s="1">
        <v>0.66</v>
      </c>
      <c r="C8" s="1">
        <f>B8*B1</f>
        <v>1768.2060000000001</v>
      </c>
      <c r="D8" s="1">
        <f>B8*B1</f>
        <v>1768.2060000000001</v>
      </c>
      <c r="E8" s="1">
        <f>B8*B1</f>
        <v>1768.2060000000001</v>
      </c>
      <c r="F8" s="1">
        <f>B8*B1</f>
        <v>1768.2060000000001</v>
      </c>
      <c r="G8" s="1">
        <f>B8*B1</f>
        <v>1768.2060000000001</v>
      </c>
      <c r="H8" s="1">
        <v>1768.21</v>
      </c>
      <c r="I8" s="1">
        <v>1768.21</v>
      </c>
      <c r="J8" s="1">
        <v>1768.21</v>
      </c>
      <c r="K8" s="1"/>
      <c r="L8" s="1"/>
      <c r="M8" s="1"/>
      <c r="N8" s="1"/>
      <c r="O8" s="1"/>
      <c r="P8" s="1">
        <f t="shared" si="0"/>
        <v>14145.66</v>
      </c>
    </row>
    <row r="9" spans="1:16" ht="12.75">
      <c r="A9" s="3" t="s">
        <v>253</v>
      </c>
      <c r="B9" s="1"/>
      <c r="C9" s="1">
        <v>2034</v>
      </c>
      <c r="D9" s="1">
        <v>2034</v>
      </c>
      <c r="E9" s="1">
        <v>2034</v>
      </c>
      <c r="F9" s="1">
        <v>2034</v>
      </c>
      <c r="G9" s="1">
        <v>2034</v>
      </c>
      <c r="H9" s="1">
        <v>2034</v>
      </c>
      <c r="I9" s="1">
        <v>2034</v>
      </c>
      <c r="J9" s="1">
        <v>2034</v>
      </c>
      <c r="K9" s="1"/>
      <c r="L9" s="1"/>
      <c r="M9" s="1"/>
      <c r="N9" s="1"/>
      <c r="O9" s="1"/>
      <c r="P9" s="1">
        <f t="shared" si="0"/>
        <v>16272</v>
      </c>
    </row>
    <row r="10" spans="1:16" ht="12.75">
      <c r="A10" s="3" t="s">
        <v>478</v>
      </c>
      <c r="B10" s="1"/>
      <c r="C10" s="1">
        <v>2712</v>
      </c>
      <c r="D10" s="1">
        <v>2712</v>
      </c>
      <c r="E10" s="1">
        <v>2712</v>
      </c>
      <c r="F10" s="1">
        <v>2712</v>
      </c>
      <c r="G10" s="1">
        <v>2712</v>
      </c>
      <c r="H10" s="1">
        <v>2712</v>
      </c>
      <c r="I10" s="1">
        <v>2712</v>
      </c>
      <c r="J10" s="1">
        <v>2712</v>
      </c>
      <c r="K10" s="1"/>
      <c r="L10" s="1"/>
      <c r="M10" s="1"/>
      <c r="N10" s="1"/>
      <c r="O10" s="1"/>
      <c r="P10" s="1">
        <f t="shared" si="0"/>
        <v>21696</v>
      </c>
    </row>
    <row r="11" spans="1:16" ht="12.75">
      <c r="A11" s="3" t="s">
        <v>278</v>
      </c>
      <c r="B11" s="1"/>
      <c r="C11" s="1">
        <v>500</v>
      </c>
      <c r="D11" s="1">
        <v>500</v>
      </c>
      <c r="E11" s="1">
        <v>500</v>
      </c>
      <c r="F11" s="1">
        <v>500</v>
      </c>
      <c r="G11" s="1"/>
      <c r="H11" s="1"/>
      <c r="I11" s="1"/>
      <c r="J11" s="1"/>
      <c r="K11" s="1"/>
      <c r="L11" s="1"/>
      <c r="M11" s="1"/>
      <c r="N11" s="1"/>
      <c r="O11" s="1"/>
      <c r="P11" s="1">
        <f t="shared" si="0"/>
        <v>2000</v>
      </c>
    </row>
    <row r="12" spans="1:16" ht="12.75">
      <c r="A12" s="1" t="s">
        <v>429</v>
      </c>
      <c r="B12" s="1"/>
      <c r="C12" s="1">
        <v>123.24</v>
      </c>
      <c r="D12" s="1">
        <v>123.24</v>
      </c>
      <c r="E12" s="1">
        <v>123.24</v>
      </c>
      <c r="F12" s="1">
        <v>123.24</v>
      </c>
      <c r="G12" s="1">
        <v>123.24</v>
      </c>
      <c r="H12" s="1">
        <v>85.73</v>
      </c>
      <c r="I12" s="1">
        <v>388.47</v>
      </c>
      <c r="J12" s="1">
        <v>388.47</v>
      </c>
      <c r="K12" s="1"/>
      <c r="L12" s="35"/>
      <c r="M12" s="1"/>
      <c r="N12" s="1"/>
      <c r="O12" s="1"/>
      <c r="P12" s="1">
        <f t="shared" si="0"/>
        <v>1478.8700000000001</v>
      </c>
    </row>
    <row r="13" spans="1:16" ht="13.5" customHeight="1">
      <c r="A13" s="3" t="s">
        <v>498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 aca="true" t="shared" si="1" ref="P13:P46">SUM(C13:O13)</f>
        <v>0</v>
      </c>
    </row>
    <row r="14" spans="1:16" ht="12.75">
      <c r="A14" s="3" t="s">
        <v>506</v>
      </c>
      <c r="B14" s="1"/>
      <c r="C14" s="1">
        <v>414.16</v>
      </c>
      <c r="D14" s="1"/>
      <c r="E14" s="1"/>
      <c r="F14" s="1">
        <v>828.32</v>
      </c>
      <c r="G14" s="1"/>
      <c r="H14" s="1"/>
      <c r="I14" s="1"/>
      <c r="J14" s="1"/>
      <c r="K14" s="1"/>
      <c r="L14" s="1"/>
      <c r="M14" s="1"/>
      <c r="N14" s="1"/>
      <c r="O14" s="1"/>
      <c r="P14" s="1">
        <f t="shared" si="1"/>
        <v>1242.48</v>
      </c>
    </row>
    <row r="15" spans="1:16" ht="12.75">
      <c r="A15" s="3" t="s">
        <v>489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f t="shared" si="1"/>
        <v>0</v>
      </c>
    </row>
    <row r="16" spans="1:16" ht="12.75">
      <c r="A16" s="3" t="s">
        <v>490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f t="shared" si="1"/>
        <v>0</v>
      </c>
    </row>
    <row r="17" spans="1:16" ht="12.75">
      <c r="A17" s="3" t="s">
        <v>5</v>
      </c>
      <c r="B17" s="1"/>
      <c r="C17" s="1"/>
      <c r="D17" s="1"/>
      <c r="E17" s="1"/>
      <c r="F17" s="1"/>
      <c r="G17" s="1"/>
      <c r="H17" s="1"/>
      <c r="I17" s="1"/>
      <c r="J17" s="1">
        <v>14307.5</v>
      </c>
      <c r="K17" s="1"/>
      <c r="L17" s="1"/>
      <c r="M17" s="1"/>
      <c r="N17" s="1"/>
      <c r="O17" s="1"/>
      <c r="P17" s="1">
        <v>14307.5</v>
      </c>
    </row>
    <row r="18" spans="1:16" ht="12.75">
      <c r="A18" s="3" t="s">
        <v>87</v>
      </c>
      <c r="B18" s="1"/>
      <c r="C18" s="1"/>
      <c r="D18" s="1"/>
      <c r="E18" s="1"/>
      <c r="F18" s="1"/>
      <c r="G18" s="1"/>
      <c r="H18" s="1"/>
      <c r="I18" s="1"/>
      <c r="J18" s="1">
        <v>22796.6</v>
      </c>
      <c r="K18" s="1"/>
      <c r="L18" s="1"/>
      <c r="M18" s="1"/>
      <c r="N18" s="1"/>
      <c r="O18" s="1"/>
      <c r="P18" s="1">
        <v>22796.6</v>
      </c>
    </row>
    <row r="19" spans="1:16" ht="12.75">
      <c r="A19" s="3" t="s">
        <v>90</v>
      </c>
      <c r="B19" s="1"/>
      <c r="C19" s="1"/>
      <c r="D19" s="1"/>
      <c r="E19" s="1"/>
      <c r="F19" s="1"/>
      <c r="G19" s="1"/>
      <c r="H19" s="1"/>
      <c r="I19" s="1"/>
      <c r="J19" s="1">
        <v>5802.76</v>
      </c>
      <c r="K19" s="1"/>
      <c r="L19" s="1"/>
      <c r="M19" s="1"/>
      <c r="N19" s="1"/>
      <c r="O19" s="1"/>
      <c r="P19" s="1">
        <v>5802.76</v>
      </c>
    </row>
    <row r="20" spans="1:16" ht="12.75">
      <c r="A20" s="3" t="s">
        <v>499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 t="shared" si="1"/>
        <v>0</v>
      </c>
    </row>
    <row r="21" spans="1:16" ht="22.5">
      <c r="A21" s="3" t="s">
        <v>533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f t="shared" si="1"/>
        <v>0</v>
      </c>
    </row>
    <row r="22" spans="1:16" ht="12.75">
      <c r="A22" s="3" t="s">
        <v>226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f t="shared" si="1"/>
        <v>0</v>
      </c>
    </row>
    <row r="23" spans="1:16" ht="12.75">
      <c r="A23" s="3" t="s">
        <v>69</v>
      </c>
      <c r="B23" s="1"/>
      <c r="C23" s="1"/>
      <c r="D23" s="1"/>
      <c r="E23" s="1"/>
      <c r="F23" s="1"/>
      <c r="G23" s="1"/>
      <c r="H23" s="1"/>
      <c r="I23" s="1">
        <v>1524.32</v>
      </c>
      <c r="J23" s="1"/>
      <c r="K23" s="1"/>
      <c r="L23" s="1"/>
      <c r="M23" s="1"/>
      <c r="N23" s="1"/>
      <c r="O23" s="1"/>
      <c r="P23" s="1">
        <v>1524.32</v>
      </c>
    </row>
    <row r="24" spans="1:16" ht="12.75">
      <c r="A24" s="3" t="s">
        <v>536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f t="shared" si="1"/>
        <v>0</v>
      </c>
    </row>
    <row r="25" spans="1:16" ht="12.75">
      <c r="A25" s="3" t="s">
        <v>43</v>
      </c>
      <c r="B25" s="1"/>
      <c r="C25" s="1"/>
      <c r="D25" s="1"/>
      <c r="E25" s="1"/>
      <c r="F25" s="1"/>
      <c r="G25" s="1"/>
      <c r="H25" s="1"/>
      <c r="I25" s="1"/>
      <c r="J25" s="1">
        <v>514.16</v>
      </c>
      <c r="K25" s="1"/>
      <c r="L25" s="1"/>
      <c r="M25" s="1"/>
      <c r="N25" s="1"/>
      <c r="O25" s="1"/>
      <c r="P25" s="1">
        <v>514.16</v>
      </c>
    </row>
    <row r="26" spans="1:16" ht="12.75">
      <c r="A26" s="3" t="s">
        <v>31</v>
      </c>
      <c r="B26" s="1"/>
      <c r="C26" s="1"/>
      <c r="D26" s="1"/>
      <c r="E26" s="1"/>
      <c r="F26" s="1"/>
      <c r="G26" s="1"/>
      <c r="H26" s="1"/>
      <c r="I26" s="1"/>
      <c r="J26" s="1">
        <v>15310</v>
      </c>
      <c r="K26" s="1"/>
      <c r="L26" s="1"/>
      <c r="M26" s="1"/>
      <c r="N26" s="1"/>
      <c r="O26" s="1"/>
      <c r="P26" s="1">
        <v>15310</v>
      </c>
    </row>
    <row r="27" spans="1:16" ht="12.75">
      <c r="A27" s="3" t="s">
        <v>492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>
        <f t="shared" si="1"/>
        <v>0</v>
      </c>
    </row>
    <row r="28" spans="1:16" ht="12.75">
      <c r="A28" s="3" t="s">
        <v>507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>
        <f t="shared" si="1"/>
        <v>0</v>
      </c>
    </row>
    <row r="29" spans="1:16" ht="12.75">
      <c r="A29" s="3" t="s">
        <v>494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>
        <f t="shared" si="1"/>
        <v>0</v>
      </c>
    </row>
    <row r="30" spans="1:16" ht="12.75">
      <c r="A30" s="3" t="s">
        <v>330</v>
      </c>
      <c r="B30" s="1"/>
      <c r="C30" s="1"/>
      <c r="D30" s="1"/>
      <c r="E30" s="1"/>
      <c r="F30" s="1">
        <v>226</v>
      </c>
      <c r="G30" s="1"/>
      <c r="H30" s="1"/>
      <c r="I30" s="1"/>
      <c r="J30" s="1"/>
      <c r="K30" s="1"/>
      <c r="L30" s="1"/>
      <c r="M30" s="1"/>
      <c r="N30" s="1"/>
      <c r="O30" s="1"/>
      <c r="P30" s="1">
        <f t="shared" si="1"/>
        <v>226</v>
      </c>
    </row>
    <row r="31" spans="1:16" ht="22.5">
      <c r="A31" s="3" t="s">
        <v>331</v>
      </c>
      <c r="B31" s="1"/>
      <c r="C31" s="1"/>
      <c r="D31" s="1">
        <v>9727.19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>
        <f t="shared" si="1"/>
        <v>9727.19</v>
      </c>
    </row>
    <row r="32" spans="1:16" ht="22.5">
      <c r="A32" s="3" t="s">
        <v>331</v>
      </c>
      <c r="B32" s="1"/>
      <c r="C32" s="1"/>
      <c r="D32" s="1">
        <v>9758.73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>
        <f t="shared" si="1"/>
        <v>9758.73</v>
      </c>
    </row>
    <row r="33" spans="1:16" ht="12.75">
      <c r="A33" s="3" t="s">
        <v>332</v>
      </c>
      <c r="B33" s="1"/>
      <c r="C33" s="1"/>
      <c r="D33" s="1">
        <v>2371.64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>
        <f t="shared" si="1"/>
        <v>2371.64</v>
      </c>
    </row>
    <row r="34" spans="1:16" ht="22.5">
      <c r="A34" s="3" t="s">
        <v>333</v>
      </c>
      <c r="B34" s="1"/>
      <c r="C34" s="1">
        <v>5598.6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>
        <f t="shared" si="1"/>
        <v>5598.6</v>
      </c>
    </row>
    <row r="35" spans="1:16" ht="12.75">
      <c r="A35" s="3" t="s">
        <v>334</v>
      </c>
      <c r="B35" s="1"/>
      <c r="C35" s="1"/>
      <c r="D35" s="1">
        <v>828.32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>
        <f t="shared" si="1"/>
        <v>828.32</v>
      </c>
    </row>
    <row r="36" spans="1:16" ht="12.75">
      <c r="A36" s="3" t="s">
        <v>335</v>
      </c>
      <c r="B36" s="1"/>
      <c r="C36" s="1"/>
      <c r="D36" s="1">
        <v>414.16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>
        <f t="shared" si="1"/>
        <v>414.16</v>
      </c>
    </row>
    <row r="37" spans="1:16" ht="12.75">
      <c r="A37" s="3" t="s">
        <v>336</v>
      </c>
      <c r="B37" s="1"/>
      <c r="C37" s="1"/>
      <c r="D37" s="1">
        <v>828.32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>
        <f t="shared" si="1"/>
        <v>828.32</v>
      </c>
    </row>
    <row r="38" spans="1:16" ht="12.75">
      <c r="A38" s="3" t="s">
        <v>337</v>
      </c>
      <c r="B38" s="1"/>
      <c r="C38" s="1"/>
      <c r="D38" s="1">
        <v>621.24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>
        <f t="shared" si="1"/>
        <v>621.24</v>
      </c>
    </row>
    <row r="39" spans="1:16" ht="12.75">
      <c r="A39" s="3" t="s">
        <v>338</v>
      </c>
      <c r="B39" s="1"/>
      <c r="C39" s="1"/>
      <c r="D39" s="1">
        <v>414.16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>
        <f t="shared" si="1"/>
        <v>414.16</v>
      </c>
    </row>
    <row r="40" spans="1:16" ht="12.75">
      <c r="A40" s="3" t="s">
        <v>339</v>
      </c>
      <c r="B40" s="1"/>
      <c r="C40" s="1">
        <v>828.32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>
        <f t="shared" si="1"/>
        <v>828.32</v>
      </c>
    </row>
    <row r="41" spans="1:16" ht="12.75">
      <c r="A41" s="3" t="s">
        <v>340</v>
      </c>
      <c r="B41" s="1"/>
      <c r="C41" s="1">
        <v>414.16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>
        <f t="shared" si="1"/>
        <v>414.16</v>
      </c>
    </row>
    <row r="42" spans="1:16" ht="22.5">
      <c r="A42" s="3" t="s">
        <v>341</v>
      </c>
      <c r="B42" s="1"/>
      <c r="C42" s="1"/>
      <c r="D42" s="1">
        <v>55703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>
        <f t="shared" si="1"/>
        <v>55703</v>
      </c>
    </row>
    <row r="43" spans="1:16" ht="33.75">
      <c r="A43" s="3" t="s">
        <v>30</v>
      </c>
      <c r="B43" s="1"/>
      <c r="C43" s="1"/>
      <c r="D43" s="1"/>
      <c r="E43" s="1"/>
      <c r="F43" s="1"/>
      <c r="G43" s="1"/>
      <c r="H43" s="1"/>
      <c r="I43" s="1"/>
      <c r="J43" s="1">
        <v>2554.96</v>
      </c>
      <c r="K43" s="1"/>
      <c r="L43" s="1"/>
      <c r="M43" s="1"/>
      <c r="N43" s="1"/>
      <c r="O43" s="1"/>
      <c r="P43" s="1">
        <v>2554.96</v>
      </c>
    </row>
    <row r="44" spans="1:16" ht="12.75">
      <c r="A44" s="3" t="s">
        <v>21</v>
      </c>
      <c r="B44" s="1"/>
      <c r="C44" s="1"/>
      <c r="D44" s="1"/>
      <c r="E44" s="1"/>
      <c r="F44" s="1"/>
      <c r="G44" s="1"/>
      <c r="H44" s="1"/>
      <c r="I44" s="1">
        <v>14567.92</v>
      </c>
      <c r="J44" s="1"/>
      <c r="K44" s="1"/>
      <c r="L44" s="1"/>
      <c r="M44" s="1"/>
      <c r="N44" s="1"/>
      <c r="O44" s="1"/>
      <c r="P44" s="1">
        <v>14567.92</v>
      </c>
    </row>
    <row r="45" spans="1:16" ht="12.75">
      <c r="A45" s="3" t="s">
        <v>616</v>
      </c>
      <c r="B45" s="1"/>
      <c r="C45" s="1"/>
      <c r="D45" s="1"/>
      <c r="E45" s="1"/>
      <c r="F45" s="1"/>
      <c r="G45" s="1">
        <v>828.32</v>
      </c>
      <c r="H45" s="1"/>
      <c r="I45" s="1"/>
      <c r="J45" s="1"/>
      <c r="K45" s="1"/>
      <c r="L45" s="1"/>
      <c r="M45" s="1"/>
      <c r="N45" s="1"/>
      <c r="O45" s="1"/>
      <c r="P45" s="1">
        <f t="shared" si="1"/>
        <v>828.32</v>
      </c>
    </row>
    <row r="46" spans="1:16" ht="12.75">
      <c r="A46" s="3" t="s">
        <v>640</v>
      </c>
      <c r="B46" s="1"/>
      <c r="C46" s="1"/>
      <c r="D46" s="1"/>
      <c r="E46" s="1"/>
      <c r="F46" s="1"/>
      <c r="G46" s="1">
        <v>60.8</v>
      </c>
      <c r="H46" s="1"/>
      <c r="I46" s="1"/>
      <c r="J46" s="1"/>
      <c r="K46" s="1"/>
      <c r="L46" s="1"/>
      <c r="M46" s="1"/>
      <c r="N46" s="1"/>
      <c r="O46" s="1"/>
      <c r="P46" s="1">
        <f t="shared" si="1"/>
        <v>60.8</v>
      </c>
    </row>
    <row r="47" spans="1:16" ht="12.75">
      <c r="A47" s="3" t="s">
        <v>560</v>
      </c>
      <c r="B47" s="1"/>
      <c r="C47" s="1"/>
      <c r="D47" s="1"/>
      <c r="E47" s="1"/>
      <c r="F47" s="1">
        <v>414.16</v>
      </c>
      <c r="G47" s="1"/>
      <c r="H47" s="1"/>
      <c r="I47" s="1"/>
      <c r="J47" s="1"/>
      <c r="K47" s="1"/>
      <c r="L47" s="1"/>
      <c r="M47" s="1"/>
      <c r="N47" s="1"/>
      <c r="O47" s="1"/>
      <c r="P47" s="1">
        <f>SUM(C47:O47)</f>
        <v>414.16</v>
      </c>
    </row>
    <row r="48" spans="1:16" ht="12.75">
      <c r="A48" s="3" t="s">
        <v>27</v>
      </c>
      <c r="B48" s="1"/>
      <c r="C48" s="1"/>
      <c r="D48" s="1"/>
      <c r="E48" s="1"/>
      <c r="F48" s="1"/>
      <c r="G48" s="1"/>
      <c r="H48" s="1"/>
      <c r="I48" s="1"/>
      <c r="J48" s="1">
        <v>1270.48</v>
      </c>
      <c r="K48" s="1"/>
      <c r="L48" s="1"/>
      <c r="M48" s="1"/>
      <c r="N48" s="1"/>
      <c r="O48" s="1"/>
      <c r="P48" s="1">
        <v>1270.48</v>
      </c>
    </row>
    <row r="49" spans="1:16" ht="12.75">
      <c r="A49" s="3" t="s">
        <v>668</v>
      </c>
      <c r="B49" s="1"/>
      <c r="C49" s="1"/>
      <c r="D49" s="1"/>
      <c r="E49" s="1"/>
      <c r="F49" s="1"/>
      <c r="G49" s="1">
        <v>15000</v>
      </c>
      <c r="H49" s="1"/>
      <c r="I49" s="1"/>
      <c r="J49" s="1"/>
      <c r="K49" s="1"/>
      <c r="L49" s="1"/>
      <c r="M49" s="1"/>
      <c r="N49" s="1"/>
      <c r="O49" s="1"/>
      <c r="P49" s="1">
        <f aca="true" t="shared" si="2" ref="P49:P57">SUM(C49:O49)</f>
        <v>15000</v>
      </c>
    </row>
    <row r="50" spans="1:16" ht="12.75">
      <c r="A50" s="3" t="s">
        <v>702</v>
      </c>
      <c r="B50" s="1"/>
      <c r="C50" s="1"/>
      <c r="D50" s="1"/>
      <c r="E50" s="1"/>
      <c r="F50" s="1">
        <v>211.08</v>
      </c>
      <c r="G50" s="1"/>
      <c r="H50" s="1"/>
      <c r="I50" s="1"/>
      <c r="J50" s="1"/>
      <c r="K50" s="1"/>
      <c r="L50" s="1"/>
      <c r="M50" s="1"/>
      <c r="N50" s="1"/>
      <c r="O50" s="1"/>
      <c r="P50" s="1">
        <v>211.08</v>
      </c>
    </row>
    <row r="51" spans="1:16" ht="12.75">
      <c r="A51" s="3" t="s">
        <v>268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>
        <f t="shared" si="2"/>
        <v>0</v>
      </c>
    </row>
    <row r="52" spans="1:16" ht="12.75">
      <c r="A52" s="3" t="s">
        <v>2</v>
      </c>
      <c r="B52" s="1"/>
      <c r="C52" s="1"/>
      <c r="D52" s="1"/>
      <c r="E52" s="1"/>
      <c r="F52" s="1"/>
      <c r="G52" s="1"/>
      <c r="H52" s="1">
        <v>1000</v>
      </c>
      <c r="I52" s="1"/>
      <c r="J52" s="1"/>
      <c r="K52" s="1"/>
      <c r="L52" s="1"/>
      <c r="M52" s="1"/>
      <c r="N52" s="1"/>
      <c r="O52" s="1"/>
      <c r="P52" s="1">
        <v>1000</v>
      </c>
    </row>
    <row r="53" spans="1:16" ht="12.75">
      <c r="A53" s="3" t="s">
        <v>270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>
        <f t="shared" si="2"/>
        <v>0</v>
      </c>
    </row>
    <row r="54" spans="1:16" ht="12.75">
      <c r="A54" s="3" t="s">
        <v>700</v>
      </c>
      <c r="B54" s="1"/>
      <c r="C54" s="1"/>
      <c r="D54" s="1"/>
      <c r="E54" s="1"/>
      <c r="F54" s="1">
        <v>103.54</v>
      </c>
      <c r="G54" s="1"/>
      <c r="H54" s="1"/>
      <c r="I54" s="1"/>
      <c r="J54" s="1"/>
      <c r="K54" s="1"/>
      <c r="L54" s="1"/>
      <c r="M54" s="1"/>
      <c r="N54" s="1"/>
      <c r="O54" s="1"/>
      <c r="P54" s="1">
        <f>SUM(C54:O54)</f>
        <v>103.54</v>
      </c>
    </row>
    <row r="55" spans="1:16" ht="12.75">
      <c r="A55" s="3" t="s">
        <v>271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>
        <f t="shared" si="2"/>
        <v>0</v>
      </c>
    </row>
    <row r="56" spans="1:16" ht="12.75">
      <c r="A56" s="3" t="s">
        <v>794</v>
      </c>
      <c r="B56" s="1"/>
      <c r="C56" s="1"/>
      <c r="D56" s="1"/>
      <c r="E56" s="1"/>
      <c r="F56" s="1"/>
      <c r="G56" s="1"/>
      <c r="H56" s="1">
        <v>1500</v>
      </c>
      <c r="I56" s="1"/>
      <c r="J56" s="1"/>
      <c r="K56" s="1"/>
      <c r="L56" s="1"/>
      <c r="M56" s="1"/>
      <c r="N56" s="1"/>
      <c r="O56" s="1"/>
      <c r="P56" s="1">
        <v>1500</v>
      </c>
    </row>
    <row r="57" spans="1:16" ht="12.75">
      <c r="A57" s="3" t="s">
        <v>405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>
        <f t="shared" si="2"/>
        <v>0</v>
      </c>
    </row>
    <row r="58" spans="1:16" ht="12.75">
      <c r="A58" s="1" t="s">
        <v>415</v>
      </c>
      <c r="B58" s="1"/>
      <c r="C58" s="1">
        <f aca="true" t="shared" si="3" ref="C58:O58">SUM(C4:C57)</f>
        <v>28350.797000000002</v>
      </c>
      <c r="D58" s="1">
        <f t="shared" si="3"/>
        <v>101762.31700000001</v>
      </c>
      <c r="E58" s="1">
        <f t="shared" si="3"/>
        <v>21095.557000000004</v>
      </c>
      <c r="F58" s="1">
        <f t="shared" si="3"/>
        <v>22878.657000000007</v>
      </c>
      <c r="G58" s="1">
        <f t="shared" si="3"/>
        <v>36484.677</v>
      </c>
      <c r="H58" s="1">
        <f t="shared" si="3"/>
        <v>23058.05</v>
      </c>
      <c r="I58" s="1">
        <f t="shared" si="3"/>
        <v>36953.03</v>
      </c>
      <c r="J58" s="1">
        <f t="shared" si="3"/>
        <v>83417.25</v>
      </c>
      <c r="K58" s="1">
        <f t="shared" si="3"/>
        <v>0</v>
      </c>
      <c r="L58" s="1">
        <f t="shared" si="3"/>
        <v>0</v>
      </c>
      <c r="M58" s="1">
        <f t="shared" si="3"/>
        <v>0</v>
      </c>
      <c r="N58" s="1">
        <f t="shared" si="3"/>
        <v>0</v>
      </c>
      <c r="O58" s="1">
        <f t="shared" si="3"/>
        <v>0</v>
      </c>
      <c r="P58" s="1">
        <f>SUM(P4:P57)</f>
        <v>354000.335</v>
      </c>
    </row>
    <row r="59" spans="1:16" ht="12.75">
      <c r="A59" s="1" t="s">
        <v>419</v>
      </c>
      <c r="B59" s="1"/>
      <c r="C59" s="1">
        <v>28855.93</v>
      </c>
      <c r="D59" s="1">
        <v>29932.06</v>
      </c>
      <c r="E59" s="1">
        <v>48210.72</v>
      </c>
      <c r="F59" s="1">
        <v>43606.79</v>
      </c>
      <c r="G59" s="1">
        <v>40109.48</v>
      </c>
      <c r="H59" s="1">
        <v>42516.7</v>
      </c>
      <c r="I59" s="1">
        <v>38699.56</v>
      </c>
      <c r="J59" s="1">
        <v>38504.27</v>
      </c>
      <c r="K59" s="1"/>
      <c r="L59" s="1"/>
      <c r="M59" s="1"/>
      <c r="N59" s="1"/>
      <c r="O59" s="1"/>
      <c r="P59" s="1">
        <f>SUM(C59:O59)</f>
        <v>310435.51</v>
      </c>
    </row>
    <row r="60" spans="1:16" ht="12.75">
      <c r="A60" s="1" t="s">
        <v>400</v>
      </c>
      <c r="B60" s="1"/>
      <c r="C60" s="1"/>
      <c r="D60" s="1"/>
      <c r="E60" s="1"/>
      <c r="F60" s="1">
        <v>15133.23</v>
      </c>
      <c r="G60" s="1">
        <v>2797.66</v>
      </c>
      <c r="H60" s="1">
        <f>24392.62+1710.16</f>
        <v>26102.78</v>
      </c>
      <c r="I60" s="1"/>
      <c r="J60" s="1">
        <f>2921.05+2797.67+1709.25</f>
        <v>7427.97</v>
      </c>
      <c r="K60" s="1"/>
      <c r="L60" s="1"/>
      <c r="M60" s="1"/>
      <c r="N60" s="1"/>
      <c r="O60" s="1"/>
      <c r="P60" s="1">
        <f>SUM(C60:O60)</f>
        <v>51461.64</v>
      </c>
    </row>
    <row r="61" spans="1:16" s="12" customFormat="1" ht="12.75">
      <c r="A61" s="2" t="s">
        <v>420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>
        <f>SUM(P59+P60+P62+P63-P58+P1)</f>
        <v>-37320.735</v>
      </c>
    </row>
    <row r="62" spans="1:16" s="12" customFormat="1" ht="12.75">
      <c r="A62" s="2" t="s">
        <v>689</v>
      </c>
      <c r="B62" s="2"/>
      <c r="C62" s="2"/>
      <c r="D62" s="2"/>
      <c r="E62" s="2"/>
      <c r="F62" s="2">
        <v>378</v>
      </c>
      <c r="G62" s="2"/>
      <c r="H62" s="2">
        <v>400</v>
      </c>
      <c r="I62" s="2"/>
      <c r="J62" s="2">
        <v>240</v>
      </c>
      <c r="K62" s="2"/>
      <c r="L62" s="2"/>
      <c r="M62" s="2"/>
      <c r="N62" s="2"/>
      <c r="O62" s="2"/>
      <c r="P62" s="2">
        <f>SUM(F62:O62)</f>
        <v>1018</v>
      </c>
    </row>
    <row r="63" spans="1:16" ht="12.75">
      <c r="A63" s="1" t="s">
        <v>527</v>
      </c>
      <c r="B63" s="1"/>
      <c r="C63" s="1"/>
      <c r="D63" s="1"/>
      <c r="E63" s="1"/>
      <c r="F63" s="1">
        <v>3675</v>
      </c>
      <c r="G63" s="1">
        <v>1513.5</v>
      </c>
      <c r="H63" s="1">
        <v>600</v>
      </c>
      <c r="I63" s="1"/>
      <c r="J63" s="1">
        <v>140</v>
      </c>
      <c r="K63" s="1"/>
      <c r="L63" s="1"/>
      <c r="M63" s="1"/>
      <c r="N63" s="1"/>
      <c r="O63" s="1"/>
      <c r="P63" s="1">
        <f>SUM(F63:O63)</f>
        <v>5928.5</v>
      </c>
    </row>
    <row r="64" spans="1:16" ht="12.75">
      <c r="A64" s="1"/>
      <c r="B64" s="62" t="s">
        <v>477</v>
      </c>
      <c r="C64" s="63"/>
      <c r="D64" s="63"/>
      <c r="E64" s="63"/>
      <c r="F64" s="64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1">
    <mergeCell ref="B64:F64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pane xSplit="5" ySplit="16" topLeftCell="F32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D13" sqref="D13"/>
    </sheetView>
  </sheetViews>
  <sheetFormatPr defaultColWidth="9.00390625" defaultRowHeight="12.75"/>
  <cols>
    <col min="1" max="1" width="34.375" style="14" customWidth="1"/>
    <col min="2" max="2" width="10.25390625" style="14" customWidth="1"/>
    <col min="3" max="3" width="11.375" style="14" customWidth="1"/>
    <col min="4" max="4" width="8.125" style="14" customWidth="1"/>
    <col min="5" max="5" width="8.75390625" style="14" customWidth="1"/>
    <col min="6" max="6" width="7.125" style="14" customWidth="1"/>
    <col min="7" max="7" width="7.25390625" style="14" customWidth="1"/>
    <col min="8" max="8" width="8.375" style="14" customWidth="1"/>
    <col min="9" max="9" width="9.125" style="14" customWidth="1"/>
    <col min="10" max="10" width="9.625" style="14" customWidth="1"/>
    <col min="11" max="16384" width="9.125" style="14" customWidth="1"/>
  </cols>
  <sheetData>
    <row r="1" spans="1:17" s="12" customFormat="1" ht="12.75">
      <c r="A1" s="2" t="s">
        <v>422</v>
      </c>
      <c r="B1" s="2"/>
      <c r="C1" s="2">
        <v>2313</v>
      </c>
      <c r="D1" s="2"/>
      <c r="E1" s="2"/>
      <c r="F1" s="2"/>
      <c r="G1" s="2"/>
      <c r="H1" s="2"/>
      <c r="I1" s="2"/>
      <c r="J1" s="2"/>
      <c r="K1" s="2"/>
      <c r="L1" s="2" t="s">
        <v>441</v>
      </c>
      <c r="M1" s="2"/>
      <c r="N1" s="2"/>
      <c r="O1" s="2" t="s">
        <v>605</v>
      </c>
      <c r="P1" s="2"/>
      <c r="Q1" s="2"/>
    </row>
    <row r="2" spans="1:17" ht="12.75">
      <c r="A2" s="1" t="s">
        <v>421</v>
      </c>
      <c r="B2" s="1"/>
      <c r="C2" s="1">
        <f>PRODUCT(C1,10.65)</f>
        <v>24633.45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>
        <v>-99663.21</v>
      </c>
    </row>
    <row r="3" spans="1:17" s="12" customFormat="1" ht="12.75">
      <c r="A3" s="2" t="s">
        <v>409</v>
      </c>
      <c r="B3" s="2"/>
      <c r="C3" s="2" t="s">
        <v>410</v>
      </c>
      <c r="D3" s="2" t="s">
        <v>434</v>
      </c>
      <c r="E3" s="2" t="s">
        <v>438</v>
      </c>
      <c r="F3" s="2" t="s">
        <v>437</v>
      </c>
      <c r="G3" s="2" t="s">
        <v>436</v>
      </c>
      <c r="H3" s="2" t="s">
        <v>413</v>
      </c>
      <c r="I3" s="2" t="s">
        <v>414</v>
      </c>
      <c r="J3" s="2" t="s">
        <v>416</v>
      </c>
      <c r="K3" s="2" t="s">
        <v>417</v>
      </c>
      <c r="L3" s="2" t="s">
        <v>423</v>
      </c>
      <c r="M3" s="2" t="s">
        <v>424</v>
      </c>
      <c r="N3" s="2" t="s">
        <v>425</v>
      </c>
      <c r="O3" s="2" t="s">
        <v>426</v>
      </c>
      <c r="P3" s="2" t="s">
        <v>434</v>
      </c>
      <c r="Q3" s="2" t="s">
        <v>427</v>
      </c>
    </row>
    <row r="4" spans="1:17" ht="12.75">
      <c r="A4" s="1" t="s">
        <v>411</v>
      </c>
      <c r="B4" s="1"/>
      <c r="C4" s="1">
        <v>1.57</v>
      </c>
      <c r="D4" s="1">
        <f>C4*C1</f>
        <v>3631.4100000000003</v>
      </c>
      <c r="E4" s="1">
        <f>C4*C1</f>
        <v>3631.4100000000003</v>
      </c>
      <c r="F4" s="1">
        <f>C4*C1</f>
        <v>3631.4100000000003</v>
      </c>
      <c r="G4" s="1">
        <f>C4*C1</f>
        <v>3631.4100000000003</v>
      </c>
      <c r="H4" s="1">
        <f>C4*C1</f>
        <v>3631.4100000000003</v>
      </c>
      <c r="I4" s="1">
        <v>3631.41</v>
      </c>
      <c r="J4" s="1">
        <v>3631.41</v>
      </c>
      <c r="K4" s="1">
        <v>3631.41</v>
      </c>
      <c r="L4" s="1"/>
      <c r="M4" s="1"/>
      <c r="N4" s="1"/>
      <c r="O4" s="1"/>
      <c r="P4" s="1"/>
      <c r="Q4" s="1">
        <f aca="true" t="shared" si="0" ref="Q4:Q9">SUM(D4:P4)</f>
        <v>29051.280000000002</v>
      </c>
    </row>
    <row r="5" spans="1:17" ht="12.75">
      <c r="A5" s="1" t="s">
        <v>451</v>
      </c>
      <c r="B5" s="1"/>
      <c r="C5" s="1">
        <v>1.6</v>
      </c>
      <c r="D5" s="1">
        <f>C5*C1</f>
        <v>3700.8</v>
      </c>
      <c r="E5" s="1">
        <f>C5*C1</f>
        <v>3700.8</v>
      </c>
      <c r="F5" s="1">
        <f>C5*C1</f>
        <v>3700.8</v>
      </c>
      <c r="G5" s="1">
        <f>C5*C1</f>
        <v>3700.8</v>
      </c>
      <c r="H5" s="1">
        <f>C5*C1</f>
        <v>3700.8</v>
      </c>
      <c r="I5" s="1">
        <v>3700.8</v>
      </c>
      <c r="J5" s="1">
        <v>3700.8</v>
      </c>
      <c r="K5" s="1">
        <v>3700.8</v>
      </c>
      <c r="L5" s="1"/>
      <c r="M5" s="1"/>
      <c r="N5" s="1"/>
      <c r="O5" s="1"/>
      <c r="P5" s="1"/>
      <c r="Q5" s="1">
        <f t="shared" si="0"/>
        <v>29606.399999999998</v>
      </c>
    </row>
    <row r="6" spans="1:17" ht="12.75">
      <c r="A6" s="1" t="s">
        <v>412</v>
      </c>
      <c r="B6" s="1"/>
      <c r="C6" s="1">
        <v>1.6</v>
      </c>
      <c r="D6" s="1">
        <f>C6*C1</f>
        <v>3700.8</v>
      </c>
      <c r="E6" s="1">
        <f>C6*C1</f>
        <v>3700.8</v>
      </c>
      <c r="F6" s="1">
        <f>C6*C1</f>
        <v>3700.8</v>
      </c>
      <c r="G6" s="1">
        <f>C6*C1</f>
        <v>3700.8</v>
      </c>
      <c r="H6" s="1">
        <f>C6*C1</f>
        <v>3700.8</v>
      </c>
      <c r="I6" s="1">
        <v>3700.8</v>
      </c>
      <c r="J6" s="1">
        <v>3700.8</v>
      </c>
      <c r="K6" s="1">
        <v>3700.8</v>
      </c>
      <c r="L6" s="1"/>
      <c r="M6" s="1"/>
      <c r="N6" s="1"/>
      <c r="O6" s="1"/>
      <c r="P6" s="1"/>
      <c r="Q6" s="1">
        <f t="shared" si="0"/>
        <v>29606.399999999998</v>
      </c>
    </row>
    <row r="7" spans="1:17" ht="12.75">
      <c r="A7" s="1" t="s">
        <v>491</v>
      </c>
      <c r="B7" s="1"/>
      <c r="C7" s="1">
        <v>0.44</v>
      </c>
      <c r="D7" s="1">
        <f>C7*C1</f>
        <v>1017.72</v>
      </c>
      <c r="E7" s="1">
        <v>1017.72</v>
      </c>
      <c r="F7" s="1">
        <v>1017.72</v>
      </c>
      <c r="G7" s="1">
        <v>1017.72</v>
      </c>
      <c r="H7" s="1">
        <v>1017.72</v>
      </c>
      <c r="I7" s="1">
        <v>1017.72</v>
      </c>
      <c r="J7" s="1">
        <v>1017.72</v>
      </c>
      <c r="K7" s="1">
        <v>1017.72</v>
      </c>
      <c r="L7" s="1"/>
      <c r="M7" s="1"/>
      <c r="N7" s="1"/>
      <c r="O7" s="1"/>
      <c r="P7" s="1"/>
      <c r="Q7" s="1">
        <f>SUM(D7:P7)</f>
        <v>8141.760000000001</v>
      </c>
    </row>
    <row r="8" spans="1:17" ht="12.75">
      <c r="A8" s="1" t="s">
        <v>435</v>
      </c>
      <c r="B8" s="1"/>
      <c r="C8" s="1">
        <v>0.66</v>
      </c>
      <c r="D8" s="1">
        <v>1387.8</v>
      </c>
      <c r="E8" s="1">
        <v>1387.8</v>
      </c>
      <c r="F8" s="1">
        <v>1387.8</v>
      </c>
      <c r="G8" s="1">
        <v>1387.8</v>
      </c>
      <c r="H8" s="1">
        <v>1387.8</v>
      </c>
      <c r="I8" s="1">
        <v>1387.8</v>
      </c>
      <c r="J8" s="1">
        <v>1387.8</v>
      </c>
      <c r="K8" s="1">
        <v>1387.8</v>
      </c>
      <c r="L8" s="1"/>
      <c r="M8" s="1"/>
      <c r="N8" s="1"/>
      <c r="O8" s="1"/>
      <c r="P8" s="1"/>
      <c r="Q8" s="1">
        <f>SUM(D8:P8)</f>
        <v>11102.399999999998</v>
      </c>
    </row>
    <row r="9" spans="1:17" ht="12.75">
      <c r="A9" s="3" t="s">
        <v>278</v>
      </c>
      <c r="B9" s="3"/>
      <c r="C9" s="1"/>
      <c r="D9" s="1">
        <v>500</v>
      </c>
      <c r="E9" s="1">
        <v>500</v>
      </c>
      <c r="F9" s="1">
        <v>500</v>
      </c>
      <c r="G9" s="1">
        <v>500</v>
      </c>
      <c r="H9" s="1">
        <v>0</v>
      </c>
      <c r="I9" s="1"/>
      <c r="J9" s="1"/>
      <c r="K9" s="1"/>
      <c r="L9" s="1"/>
      <c r="M9" s="1"/>
      <c r="N9" s="1"/>
      <c r="O9" s="1"/>
      <c r="P9" s="1"/>
      <c r="Q9" s="1">
        <f t="shared" si="0"/>
        <v>2000</v>
      </c>
    </row>
    <row r="10" spans="1:17" ht="12.75">
      <c r="A10" s="3" t="s">
        <v>478</v>
      </c>
      <c r="B10" s="3"/>
      <c r="C10" s="1"/>
      <c r="D10" s="1">
        <v>3119</v>
      </c>
      <c r="E10" s="1">
        <v>3119</v>
      </c>
      <c r="F10" s="1">
        <v>3119</v>
      </c>
      <c r="G10" s="1">
        <v>3119</v>
      </c>
      <c r="H10" s="1">
        <v>3119</v>
      </c>
      <c r="I10" s="1">
        <v>3119</v>
      </c>
      <c r="J10" s="1">
        <v>3119</v>
      </c>
      <c r="K10" s="1">
        <v>3119</v>
      </c>
      <c r="L10" s="1"/>
      <c r="M10" s="1"/>
      <c r="N10" s="1"/>
      <c r="O10" s="1"/>
      <c r="P10" s="1"/>
      <c r="Q10" s="1">
        <f>SUM(D10:P10)</f>
        <v>24952</v>
      </c>
    </row>
    <row r="11" spans="1:17" ht="12.75">
      <c r="A11" s="3" t="s">
        <v>253</v>
      </c>
      <c r="B11" s="3"/>
      <c r="C11" s="1"/>
      <c r="D11" s="1">
        <v>2299</v>
      </c>
      <c r="E11" s="1">
        <v>2299</v>
      </c>
      <c r="F11" s="1">
        <v>2299</v>
      </c>
      <c r="G11" s="1">
        <v>2299</v>
      </c>
      <c r="H11" s="1">
        <v>2299</v>
      </c>
      <c r="I11" s="1"/>
      <c r="J11" s="1">
        <v>2299</v>
      </c>
      <c r="K11" s="1">
        <v>2299</v>
      </c>
      <c r="L11" s="1"/>
      <c r="M11" s="1"/>
      <c r="N11" s="1"/>
      <c r="O11" s="1"/>
      <c r="P11" s="1"/>
      <c r="Q11" s="1">
        <f>SUM(D11:P11)</f>
        <v>16093</v>
      </c>
    </row>
    <row r="12" spans="1:17" ht="12.75">
      <c r="A12" s="1" t="s">
        <v>429</v>
      </c>
      <c r="B12" s="1"/>
      <c r="C12" s="1"/>
      <c r="D12" s="1">
        <v>106.4</v>
      </c>
      <c r="E12" s="1">
        <v>106.4</v>
      </c>
      <c r="F12" s="1">
        <v>106.4</v>
      </c>
      <c r="G12" s="1">
        <v>106.4</v>
      </c>
      <c r="H12" s="1">
        <v>106.4</v>
      </c>
      <c r="I12" s="1">
        <v>74.02</v>
      </c>
      <c r="J12" s="1">
        <v>335.39</v>
      </c>
      <c r="K12" s="1">
        <v>335.39</v>
      </c>
      <c r="L12" s="1"/>
      <c r="M12" s="1"/>
      <c r="N12" s="1"/>
      <c r="O12" s="1"/>
      <c r="P12" s="1"/>
      <c r="Q12" s="1">
        <f aca="true" t="shared" si="1" ref="Q12:Q36">SUM(D12:P12)</f>
        <v>1276.8</v>
      </c>
    </row>
    <row r="13" spans="1:17" ht="22.5">
      <c r="A13" s="3" t="s">
        <v>498</v>
      </c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f t="shared" si="1"/>
        <v>0</v>
      </c>
    </row>
    <row r="14" spans="1:17" ht="22.5">
      <c r="A14" s="3" t="s">
        <v>496</v>
      </c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f t="shared" si="1"/>
        <v>0</v>
      </c>
    </row>
    <row r="15" spans="1:17" ht="12.75">
      <c r="A15" s="3" t="s">
        <v>1</v>
      </c>
      <c r="B15" s="3"/>
      <c r="C15" s="1"/>
      <c r="D15" s="1"/>
      <c r="E15" s="1"/>
      <c r="F15" s="1"/>
      <c r="G15" s="1"/>
      <c r="H15" s="1"/>
      <c r="I15" s="1">
        <v>3833.33</v>
      </c>
      <c r="J15" s="1"/>
      <c r="K15" s="1"/>
      <c r="L15" s="1"/>
      <c r="M15" s="1"/>
      <c r="N15" s="1"/>
      <c r="O15" s="1"/>
      <c r="P15" s="1"/>
      <c r="Q15" s="1">
        <v>3833.33</v>
      </c>
    </row>
    <row r="16" spans="1:17" ht="12.75">
      <c r="A16" s="1" t="s">
        <v>489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f t="shared" si="1"/>
        <v>0</v>
      </c>
    </row>
    <row r="17" spans="1:17" ht="12.75">
      <c r="A17" s="1" t="s">
        <v>504</v>
      </c>
      <c r="B17" s="1"/>
      <c r="C17" s="1"/>
      <c r="D17" s="1"/>
      <c r="E17" s="1"/>
      <c r="F17" s="1"/>
      <c r="G17" s="1"/>
      <c r="H17" s="1">
        <v>13839</v>
      </c>
      <c r="I17" s="1"/>
      <c r="J17" s="1"/>
      <c r="K17" s="1"/>
      <c r="L17" s="1"/>
      <c r="M17" s="1"/>
      <c r="N17" s="1"/>
      <c r="O17" s="1"/>
      <c r="P17" s="1"/>
      <c r="Q17" s="1">
        <f t="shared" si="1"/>
        <v>13839</v>
      </c>
    </row>
    <row r="18" spans="1:17" ht="22.5">
      <c r="A18" s="3" t="s">
        <v>534</v>
      </c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f t="shared" si="1"/>
        <v>0</v>
      </c>
    </row>
    <row r="19" spans="1:17" ht="12.75">
      <c r="A19" s="3" t="s">
        <v>228</v>
      </c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f t="shared" si="1"/>
        <v>0</v>
      </c>
    </row>
    <row r="20" spans="1:17" ht="22.5">
      <c r="A20" s="3" t="s">
        <v>531</v>
      </c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f t="shared" si="1"/>
        <v>0</v>
      </c>
    </row>
    <row r="21" spans="1:17" ht="12.75">
      <c r="A21" s="1" t="s">
        <v>492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f t="shared" si="1"/>
        <v>0</v>
      </c>
    </row>
    <row r="22" spans="1:17" ht="12.75">
      <c r="A22" s="1" t="s">
        <v>499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f t="shared" si="1"/>
        <v>0</v>
      </c>
    </row>
    <row r="23" spans="1:17" ht="12.75">
      <c r="A23" s="1" t="s">
        <v>493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f t="shared" si="1"/>
        <v>0</v>
      </c>
    </row>
    <row r="24" spans="1:17" ht="12.75">
      <c r="A24" s="1" t="s">
        <v>700</v>
      </c>
      <c r="B24" s="1"/>
      <c r="C24" s="1"/>
      <c r="D24" s="1"/>
      <c r="E24" s="1"/>
      <c r="F24" s="1"/>
      <c r="G24" s="1">
        <v>414.16</v>
      </c>
      <c r="H24" s="1"/>
      <c r="I24" s="1"/>
      <c r="J24" s="1"/>
      <c r="K24" s="1"/>
      <c r="L24" s="1"/>
      <c r="M24" s="1"/>
      <c r="N24" s="1"/>
      <c r="O24" s="1"/>
      <c r="P24" s="1"/>
      <c r="Q24" s="1">
        <f>SUM(D24:P24)</f>
        <v>414.16</v>
      </c>
    </row>
    <row r="25" spans="1:17" ht="12.75">
      <c r="A25" s="1" t="s">
        <v>723</v>
      </c>
      <c r="B25" s="1"/>
      <c r="C25" s="1"/>
      <c r="D25" s="1"/>
      <c r="E25" s="1"/>
      <c r="F25" s="1"/>
      <c r="G25" s="1">
        <v>3026.32</v>
      </c>
      <c r="H25" s="1"/>
      <c r="I25" s="1"/>
      <c r="J25" s="1"/>
      <c r="K25" s="1"/>
      <c r="L25" s="1"/>
      <c r="M25" s="1"/>
      <c r="N25" s="1"/>
      <c r="O25" s="1"/>
      <c r="P25" s="1"/>
      <c r="Q25" s="1">
        <f>SUM(D25:P25)</f>
        <v>3026.32</v>
      </c>
    </row>
    <row r="26" spans="1:17" ht="12.75">
      <c r="A26" s="1" t="s">
        <v>715</v>
      </c>
      <c r="B26" s="1"/>
      <c r="C26" s="1"/>
      <c r="D26" s="1"/>
      <c r="E26" s="1"/>
      <c r="F26" s="1"/>
      <c r="G26" s="1">
        <v>2113.64</v>
      </c>
      <c r="H26" s="1"/>
      <c r="I26" s="1"/>
      <c r="J26" s="1"/>
      <c r="K26" s="1"/>
      <c r="L26" s="1"/>
      <c r="M26" s="1"/>
      <c r="N26" s="1"/>
      <c r="O26" s="1"/>
      <c r="P26" s="1"/>
      <c r="Q26" s="1">
        <f>SUM(D26:P26)</f>
        <v>2113.64</v>
      </c>
    </row>
    <row r="27" spans="1:17" ht="22.5">
      <c r="A27" s="3" t="s">
        <v>342</v>
      </c>
      <c r="B27" s="1"/>
      <c r="C27" s="1"/>
      <c r="D27" s="1"/>
      <c r="E27" s="1"/>
      <c r="F27" s="1">
        <v>1919.14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f t="shared" si="1"/>
        <v>1919.14</v>
      </c>
    </row>
    <row r="28" spans="1:17" ht="12.75">
      <c r="A28" s="1" t="s">
        <v>343</v>
      </c>
      <c r="B28" s="1"/>
      <c r="C28" s="1"/>
      <c r="D28" s="1"/>
      <c r="E28" s="1"/>
      <c r="F28" s="1">
        <v>2584.96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>
        <f t="shared" si="1"/>
        <v>2584.96</v>
      </c>
    </row>
    <row r="29" spans="1:17" ht="12.75">
      <c r="A29" s="1" t="s">
        <v>344</v>
      </c>
      <c r="B29" s="1"/>
      <c r="C29" s="1"/>
      <c r="D29" s="1"/>
      <c r="E29" s="1"/>
      <c r="F29" s="1">
        <v>2484.96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>
        <f t="shared" si="1"/>
        <v>2484.96</v>
      </c>
    </row>
    <row r="30" spans="1:17" ht="22.5">
      <c r="A30" s="3" t="s">
        <v>345</v>
      </c>
      <c r="B30" s="1"/>
      <c r="C30" s="1"/>
      <c r="D30" s="1"/>
      <c r="E30" s="1">
        <v>828.32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>
        <f t="shared" si="1"/>
        <v>828.32</v>
      </c>
    </row>
    <row r="31" spans="1:17" ht="12.75">
      <c r="A31" s="3" t="s">
        <v>346</v>
      </c>
      <c r="B31" s="1"/>
      <c r="C31" s="1"/>
      <c r="D31" s="1"/>
      <c r="E31" s="1">
        <v>903.32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>
        <f t="shared" si="1"/>
        <v>903.32</v>
      </c>
    </row>
    <row r="32" spans="1:17" ht="12.75">
      <c r="A32" s="3" t="s">
        <v>273</v>
      </c>
      <c r="B32" s="1"/>
      <c r="C32" s="1"/>
      <c r="D32" s="1"/>
      <c r="E32" s="1">
        <v>828.32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>
        <f t="shared" si="1"/>
        <v>828.32</v>
      </c>
    </row>
    <row r="33" spans="1:17" ht="12.75">
      <c r="A33" s="1" t="s">
        <v>347</v>
      </c>
      <c r="B33" s="1"/>
      <c r="C33" s="1"/>
      <c r="D33" s="1">
        <v>348.54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f t="shared" si="1"/>
        <v>348.54</v>
      </c>
    </row>
    <row r="34" spans="1:17" ht="12.75">
      <c r="A34" s="3" t="s">
        <v>610</v>
      </c>
      <c r="B34" s="3"/>
      <c r="C34" s="1"/>
      <c r="D34" s="1"/>
      <c r="E34" s="1"/>
      <c r="F34" s="1"/>
      <c r="G34" s="1"/>
      <c r="H34" s="1">
        <v>1351.07</v>
      </c>
      <c r="I34" s="1"/>
      <c r="J34" s="1"/>
      <c r="K34" s="1"/>
      <c r="L34" s="1"/>
      <c r="M34" s="1"/>
      <c r="N34" s="1"/>
      <c r="O34" s="1"/>
      <c r="P34" s="1"/>
      <c r="Q34" s="1">
        <f t="shared" si="1"/>
        <v>1351.07</v>
      </c>
    </row>
    <row r="35" spans="1:17" ht="12.75">
      <c r="A35" s="3" t="s">
        <v>757</v>
      </c>
      <c r="B35" s="3"/>
      <c r="C35" s="1"/>
      <c r="D35" s="1"/>
      <c r="E35" s="1"/>
      <c r="F35" s="1"/>
      <c r="G35" s="1"/>
      <c r="H35" s="1"/>
      <c r="I35" s="1">
        <v>207.08</v>
      </c>
      <c r="J35" s="1"/>
      <c r="K35" s="1"/>
      <c r="L35" s="1"/>
      <c r="M35" s="1"/>
      <c r="N35" s="1"/>
      <c r="O35" s="1"/>
      <c r="P35" s="1"/>
      <c r="Q35" s="1">
        <f t="shared" si="1"/>
        <v>207.08</v>
      </c>
    </row>
    <row r="36" spans="1:17" ht="12.75">
      <c r="A36" s="3" t="s">
        <v>528</v>
      </c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>
        <f t="shared" si="1"/>
        <v>0</v>
      </c>
    </row>
    <row r="37" spans="1:17" ht="12.75">
      <c r="A37" s="1" t="s">
        <v>415</v>
      </c>
      <c r="B37" s="1"/>
      <c r="C37" s="1"/>
      <c r="D37" s="1">
        <f aca="true" t="shared" si="2" ref="D37:I37">SUM(D4:D33)</f>
        <v>19811.47</v>
      </c>
      <c r="E37" s="1">
        <f t="shared" si="2"/>
        <v>22022.89</v>
      </c>
      <c r="F37" s="1">
        <f t="shared" si="2"/>
        <v>26451.989999999998</v>
      </c>
      <c r="G37" s="1">
        <f t="shared" si="2"/>
        <v>25017.05</v>
      </c>
      <c r="H37" s="1">
        <f t="shared" si="2"/>
        <v>32801.93</v>
      </c>
      <c r="I37" s="1">
        <f t="shared" si="2"/>
        <v>20464.879999999997</v>
      </c>
      <c r="J37" s="1">
        <f>SUM(J4:J36)</f>
        <v>19191.92</v>
      </c>
      <c r="K37" s="1">
        <f>SUM(K4:K36)</f>
        <v>19191.92</v>
      </c>
      <c r="L37" s="1">
        <f>SUM(L4:L36)</f>
        <v>0</v>
      </c>
      <c r="M37" s="1">
        <f>SUM(M4:M36)</f>
        <v>0</v>
      </c>
      <c r="N37" s="1">
        <f>SUM(N4:N33)</f>
        <v>0</v>
      </c>
      <c r="O37" s="1">
        <f>SUM(O4:O36)</f>
        <v>0</v>
      </c>
      <c r="P37" s="1">
        <f>SUM(P4:P33)</f>
        <v>0</v>
      </c>
      <c r="Q37" s="1">
        <f>SUM(Q4:Q36)</f>
        <v>186512.2</v>
      </c>
    </row>
    <row r="38" spans="1:17" s="12" customFormat="1" ht="12.75">
      <c r="A38" s="1" t="s">
        <v>419</v>
      </c>
      <c r="B38" s="1"/>
      <c r="C38" s="1"/>
      <c r="D38" s="1">
        <v>30416.99</v>
      </c>
      <c r="E38" s="1">
        <v>31741.93</v>
      </c>
      <c r="F38" s="1">
        <v>32815.66</v>
      </c>
      <c r="G38" s="1">
        <v>28761.25</v>
      </c>
      <c r="H38" s="1">
        <v>35670.77</v>
      </c>
      <c r="I38" s="1">
        <v>24529.07</v>
      </c>
      <c r="J38" s="1">
        <v>28865.31</v>
      </c>
      <c r="K38" s="1">
        <v>34914.37</v>
      </c>
      <c r="L38" s="1"/>
      <c r="M38" s="1"/>
      <c r="N38" s="1"/>
      <c r="O38" s="1"/>
      <c r="P38" s="1"/>
      <c r="Q38" s="2">
        <f>SUM(D38:P38)</f>
        <v>247715.35</v>
      </c>
    </row>
    <row r="39" spans="1:17" s="12" customFormat="1" ht="12.75">
      <c r="A39" s="1" t="s">
        <v>272</v>
      </c>
      <c r="B39" s="1"/>
      <c r="C39" s="1"/>
      <c r="D39" s="1"/>
      <c r="E39" s="1"/>
      <c r="F39" s="1"/>
      <c r="G39" s="1">
        <v>14631.36</v>
      </c>
      <c r="H39" s="1">
        <v>2502.92</v>
      </c>
      <c r="I39" s="1"/>
      <c r="J39" s="1"/>
      <c r="K39" s="1">
        <v>10011.68</v>
      </c>
      <c r="L39" s="1"/>
      <c r="M39" s="1"/>
      <c r="N39" s="1"/>
      <c r="O39" s="1"/>
      <c r="P39" s="1"/>
      <c r="Q39" s="2">
        <f>SUM(D39:P39)</f>
        <v>27145.96</v>
      </c>
    </row>
    <row r="40" spans="1:17" ht="12.75">
      <c r="A40" s="2" t="s">
        <v>420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>
        <f>SUM(Q38+Q39+Q42+G41-Q37+Q2)</f>
        <v>-5007.60000000002</v>
      </c>
    </row>
    <row r="41" spans="1:17" ht="12.75">
      <c r="A41" s="1" t="s">
        <v>603</v>
      </c>
      <c r="B41" s="1"/>
      <c r="C41" s="1"/>
      <c r="D41" s="1"/>
      <c r="E41" s="1"/>
      <c r="F41" s="1"/>
      <c r="G41" s="1">
        <v>378</v>
      </c>
      <c r="H41" s="1"/>
      <c r="I41" s="1">
        <v>400</v>
      </c>
      <c r="J41" s="1"/>
      <c r="K41" s="1">
        <v>240</v>
      </c>
      <c r="L41" s="1"/>
      <c r="M41" s="1"/>
      <c r="N41" s="1"/>
      <c r="O41" s="1"/>
      <c r="P41" s="1"/>
      <c r="Q41" s="1">
        <f>SUM(G41:P41)</f>
        <v>1018</v>
      </c>
    </row>
    <row r="42" spans="1:17" ht="12.75">
      <c r="A42" s="1" t="s">
        <v>527</v>
      </c>
      <c r="B42" s="1"/>
      <c r="C42" s="1"/>
      <c r="D42" s="1"/>
      <c r="E42" s="1"/>
      <c r="F42" s="1"/>
      <c r="G42" s="1">
        <v>3675</v>
      </c>
      <c r="H42" s="1">
        <v>1513.5</v>
      </c>
      <c r="I42" s="1">
        <v>600</v>
      </c>
      <c r="J42" s="1"/>
      <c r="K42" s="1">
        <v>140</v>
      </c>
      <c r="L42" s="1"/>
      <c r="M42" s="1"/>
      <c r="N42" s="1"/>
      <c r="O42" s="1"/>
      <c r="P42" s="1"/>
      <c r="Q42" s="1">
        <f>SUM(G42:P42)</f>
        <v>5928.5</v>
      </c>
    </row>
    <row r="43" spans="2:11" ht="12.75">
      <c r="B43" s="34"/>
      <c r="C43" s="62" t="s">
        <v>482</v>
      </c>
      <c r="D43" s="63"/>
      <c r="E43" s="63"/>
      <c r="F43" s="63"/>
      <c r="G43" s="64"/>
      <c r="H43" s="12"/>
      <c r="I43" s="12"/>
      <c r="J43" s="12"/>
      <c r="K43" s="12"/>
    </row>
    <row r="44" ht="12.75">
      <c r="H44" s="14" t="s">
        <v>428</v>
      </c>
    </row>
  </sheetData>
  <sheetProtection/>
  <mergeCells count="1">
    <mergeCell ref="C43:G43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0"/>
  <sheetViews>
    <sheetView view="pageBreakPreview" zoomScale="110" zoomScaleSheetLayoutView="110" zoomScalePageLayoutView="0" workbookViewId="0" topLeftCell="A1">
      <pane xSplit="4" ySplit="16" topLeftCell="E17" activePane="bottomRight" state="frozen"/>
      <selection pane="topLeft" activeCell="A1" sqref="A1"/>
      <selection pane="topRight" activeCell="E1" sqref="E1"/>
      <selection pane="bottomLeft" activeCell="A17" sqref="A17"/>
      <selection pane="bottomRight" activeCell="H38" sqref="H38"/>
    </sheetView>
  </sheetViews>
  <sheetFormatPr defaultColWidth="9.00390625" defaultRowHeight="12.75"/>
  <cols>
    <col min="1" max="1" width="34.375" style="14" customWidth="1"/>
    <col min="2" max="2" width="10.875" style="14" customWidth="1"/>
    <col min="3" max="4" width="8.75390625" style="14" customWidth="1"/>
    <col min="5" max="5" width="7.75390625" style="14" customWidth="1"/>
    <col min="6" max="6" width="7.875" style="14" customWidth="1"/>
    <col min="7" max="7" width="8.375" style="14" customWidth="1"/>
    <col min="8" max="8" width="9.125" style="14" customWidth="1"/>
    <col min="9" max="9" width="8.00390625" style="14" customWidth="1"/>
    <col min="10" max="16384" width="9.125" style="14" customWidth="1"/>
  </cols>
  <sheetData>
    <row r="1" spans="1:16" s="12" customFormat="1" ht="12.75">
      <c r="A1" s="2" t="s">
        <v>422</v>
      </c>
      <c r="B1" s="2">
        <v>2571.01</v>
      </c>
      <c r="C1" s="2"/>
      <c r="D1" s="2"/>
      <c r="E1" s="2"/>
      <c r="F1" s="2"/>
      <c r="G1" s="2"/>
      <c r="H1" s="2"/>
      <c r="I1" s="2"/>
      <c r="J1" s="2"/>
      <c r="K1" s="2" t="s">
        <v>432</v>
      </c>
      <c r="L1" s="2"/>
      <c r="M1" s="2" t="s">
        <v>601</v>
      </c>
      <c r="N1" s="2"/>
      <c r="O1" s="2"/>
      <c r="P1" s="2">
        <v>8096.62</v>
      </c>
    </row>
    <row r="2" spans="1:16" ht="12.75">
      <c r="A2" s="1" t="s">
        <v>421</v>
      </c>
      <c r="B2" s="1">
        <f>PRODUCT(B1,11.2)</f>
        <v>28795.312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2" customFormat="1" ht="12.75">
      <c r="A3" s="2" t="s">
        <v>409</v>
      </c>
      <c r="B3" s="2" t="s">
        <v>410</v>
      </c>
      <c r="C3" s="2" t="s">
        <v>434</v>
      </c>
      <c r="D3" s="2" t="s">
        <v>438</v>
      </c>
      <c r="E3" s="2" t="s">
        <v>437</v>
      </c>
      <c r="F3" s="2" t="s">
        <v>436</v>
      </c>
      <c r="G3" s="2" t="s">
        <v>413</v>
      </c>
      <c r="H3" s="2" t="s">
        <v>414</v>
      </c>
      <c r="I3" s="2" t="s">
        <v>416</v>
      </c>
      <c r="J3" s="2" t="s">
        <v>417</v>
      </c>
      <c r="K3" s="2" t="s">
        <v>423</v>
      </c>
      <c r="L3" s="2" t="s">
        <v>424</v>
      </c>
      <c r="M3" s="2" t="s">
        <v>425</v>
      </c>
      <c r="N3" s="2" t="s">
        <v>426</v>
      </c>
      <c r="O3" s="2" t="s">
        <v>434</v>
      </c>
      <c r="P3" s="2" t="s">
        <v>427</v>
      </c>
    </row>
    <row r="4" spans="1:16" ht="12.75">
      <c r="A4" s="1" t="s">
        <v>411</v>
      </c>
      <c r="B4" s="1">
        <v>1.57</v>
      </c>
      <c r="C4" s="1">
        <f>B4*B1</f>
        <v>4036.4857000000006</v>
      </c>
      <c r="D4" s="1">
        <f>B4*B1</f>
        <v>4036.4857000000006</v>
      </c>
      <c r="E4" s="1">
        <f>B4*B1</f>
        <v>4036.4857000000006</v>
      </c>
      <c r="F4" s="1">
        <f>B4*B1</f>
        <v>4036.4857000000006</v>
      </c>
      <c r="G4" s="1">
        <f>B4*B1</f>
        <v>4036.4857000000006</v>
      </c>
      <c r="H4" s="1">
        <v>4036.49</v>
      </c>
      <c r="I4" s="1">
        <v>4036.49</v>
      </c>
      <c r="J4" s="1">
        <v>4036.49</v>
      </c>
      <c r="K4" s="1"/>
      <c r="L4" s="1"/>
      <c r="M4" s="1"/>
      <c r="N4" s="1"/>
      <c r="O4" s="1"/>
      <c r="P4" s="1">
        <f aca="true" t="shared" si="0" ref="P4:P9">SUM(C4:O4)</f>
        <v>32291.898499999996</v>
      </c>
    </row>
    <row r="5" spans="1:16" ht="12.75">
      <c r="A5" s="1" t="s">
        <v>451</v>
      </c>
      <c r="B5" s="1">
        <v>1.6</v>
      </c>
      <c r="C5" s="1">
        <f>B5*B1</f>
        <v>4113.616000000001</v>
      </c>
      <c r="D5" s="1">
        <f>B5*B1</f>
        <v>4113.616000000001</v>
      </c>
      <c r="E5" s="1">
        <f>B5*B1</f>
        <v>4113.616000000001</v>
      </c>
      <c r="F5" s="1">
        <f>B5*B1</f>
        <v>4113.616000000001</v>
      </c>
      <c r="G5" s="1">
        <f>B5*B1</f>
        <v>4113.616000000001</v>
      </c>
      <c r="H5" s="1">
        <v>4113.62</v>
      </c>
      <c r="I5" s="1">
        <v>4113.62</v>
      </c>
      <c r="J5" s="1">
        <v>4113.62</v>
      </c>
      <c r="K5" s="1"/>
      <c r="L5" s="1"/>
      <c r="M5" s="1"/>
      <c r="N5" s="1"/>
      <c r="O5" s="1"/>
      <c r="P5" s="1">
        <f t="shared" si="0"/>
        <v>32908.94</v>
      </c>
    </row>
    <row r="6" spans="1:16" ht="12.75">
      <c r="A6" s="1" t="s">
        <v>412</v>
      </c>
      <c r="B6" s="1">
        <v>1.6</v>
      </c>
      <c r="C6" s="1">
        <f>B6*B1</f>
        <v>4113.616000000001</v>
      </c>
      <c r="D6" s="1">
        <f>B6*B1</f>
        <v>4113.616000000001</v>
      </c>
      <c r="E6" s="1">
        <f>B6*B1</f>
        <v>4113.616000000001</v>
      </c>
      <c r="F6" s="1">
        <f>B6*B1</f>
        <v>4113.616000000001</v>
      </c>
      <c r="G6" s="1">
        <f>B6*B1</f>
        <v>4113.616000000001</v>
      </c>
      <c r="H6" s="1">
        <v>4113.62</v>
      </c>
      <c r="I6" s="1">
        <v>4113.62</v>
      </c>
      <c r="J6" s="1">
        <v>4113.62</v>
      </c>
      <c r="K6" s="1"/>
      <c r="L6" s="1"/>
      <c r="M6" s="1"/>
      <c r="N6" s="1"/>
      <c r="O6" s="1"/>
      <c r="P6" s="1">
        <f t="shared" si="0"/>
        <v>32908.94</v>
      </c>
    </row>
    <row r="7" spans="1:16" ht="12.75">
      <c r="A7" s="1" t="s">
        <v>491</v>
      </c>
      <c r="B7" s="1">
        <v>0.44</v>
      </c>
      <c r="C7" s="1">
        <f>B7*B1</f>
        <v>1131.2444</v>
      </c>
      <c r="D7" s="1">
        <f>B7*B1</f>
        <v>1131.2444</v>
      </c>
      <c r="E7" s="1">
        <f>B7*B1</f>
        <v>1131.2444</v>
      </c>
      <c r="F7" s="1">
        <f>B7*B1</f>
        <v>1131.2444</v>
      </c>
      <c r="G7" s="1">
        <f>B7*B1</f>
        <v>1131.2444</v>
      </c>
      <c r="H7" s="1">
        <v>1131.24</v>
      </c>
      <c r="I7" s="1">
        <v>1131.24</v>
      </c>
      <c r="J7" s="1">
        <v>1131.24</v>
      </c>
      <c r="K7" s="1"/>
      <c r="L7" s="1"/>
      <c r="M7" s="1"/>
      <c r="N7" s="1"/>
      <c r="O7" s="1"/>
      <c r="P7" s="1">
        <f t="shared" si="0"/>
        <v>9049.942</v>
      </c>
    </row>
    <row r="8" spans="1:16" ht="12.75">
      <c r="A8" s="3" t="s">
        <v>279</v>
      </c>
      <c r="B8" s="1"/>
      <c r="C8" s="1">
        <v>500</v>
      </c>
      <c r="D8" s="1">
        <v>500</v>
      </c>
      <c r="E8" s="1">
        <v>500</v>
      </c>
      <c r="F8" s="1">
        <v>500</v>
      </c>
      <c r="G8" s="1">
        <v>500</v>
      </c>
      <c r="H8" s="1">
        <v>500</v>
      </c>
      <c r="I8" s="1">
        <v>500</v>
      </c>
      <c r="J8" s="1">
        <v>500</v>
      </c>
      <c r="K8" s="1"/>
      <c r="L8" s="1"/>
      <c r="M8" s="1"/>
      <c r="N8" s="1"/>
      <c r="O8" s="1"/>
      <c r="P8" s="1">
        <f t="shared" si="0"/>
        <v>4000</v>
      </c>
    </row>
    <row r="9" spans="1:16" ht="12.75">
      <c r="A9" s="1" t="s">
        <v>429</v>
      </c>
      <c r="B9" s="1"/>
      <c r="C9" s="1">
        <v>118.27</v>
      </c>
      <c r="D9" s="1">
        <v>118.27</v>
      </c>
      <c r="E9" s="1">
        <v>118.27</v>
      </c>
      <c r="F9" s="1">
        <v>118.27</v>
      </c>
      <c r="G9" s="1">
        <v>118.27</v>
      </c>
      <c r="H9" s="1">
        <v>82.27</v>
      </c>
      <c r="I9" s="1">
        <v>372.8</v>
      </c>
      <c r="J9" s="1">
        <v>372.8</v>
      </c>
      <c r="K9" s="1"/>
      <c r="L9" s="1"/>
      <c r="M9" s="1"/>
      <c r="N9" s="1"/>
      <c r="O9" s="1"/>
      <c r="P9" s="1">
        <f t="shared" si="0"/>
        <v>1419.22</v>
      </c>
    </row>
    <row r="10" spans="1:16" ht="12.75">
      <c r="A10" s="1" t="s">
        <v>520</v>
      </c>
      <c r="B10" s="1"/>
      <c r="C10" s="1">
        <v>4068.68</v>
      </c>
      <c r="D10" s="1">
        <v>4068.68</v>
      </c>
      <c r="E10" s="1">
        <v>4068.68</v>
      </c>
      <c r="F10" s="1">
        <v>4068.68</v>
      </c>
      <c r="G10" s="1">
        <v>4068.68</v>
      </c>
      <c r="H10" s="1">
        <v>4068.68</v>
      </c>
      <c r="I10" s="1">
        <v>4068.68</v>
      </c>
      <c r="J10" s="1">
        <v>4068.68</v>
      </c>
      <c r="K10" s="1"/>
      <c r="L10" s="1"/>
      <c r="M10" s="1"/>
      <c r="N10" s="1"/>
      <c r="O10" s="1"/>
      <c r="P10" s="1">
        <f>SUM(D10:O10)</f>
        <v>28480.76</v>
      </c>
    </row>
    <row r="11" spans="1:16" ht="12.75">
      <c r="A11" s="3" t="s">
        <v>255</v>
      </c>
      <c r="B11" s="1"/>
      <c r="C11" s="1"/>
      <c r="D11" s="1">
        <v>2712</v>
      </c>
      <c r="E11" s="1">
        <v>2712</v>
      </c>
      <c r="F11" s="1">
        <v>2712</v>
      </c>
      <c r="G11" s="1">
        <v>2712</v>
      </c>
      <c r="H11" s="1">
        <v>2712</v>
      </c>
      <c r="I11" s="1">
        <v>2712</v>
      </c>
      <c r="J11" s="1">
        <v>2712</v>
      </c>
      <c r="K11" s="1"/>
      <c r="L11" s="1"/>
      <c r="M11" s="1"/>
      <c r="N11" s="1"/>
      <c r="O11" s="1"/>
      <c r="P11" s="1">
        <f>SUM(D11:O11)</f>
        <v>18984</v>
      </c>
    </row>
    <row r="12" spans="1:16" ht="12.75">
      <c r="A12" s="1" t="s">
        <v>435</v>
      </c>
      <c r="B12" s="1">
        <v>0.66</v>
      </c>
      <c r="C12" s="1">
        <v>1696.87</v>
      </c>
      <c r="D12" s="1">
        <v>1696.87</v>
      </c>
      <c r="E12" s="1">
        <v>1696.87</v>
      </c>
      <c r="F12" s="1">
        <v>1696.87</v>
      </c>
      <c r="G12" s="1">
        <v>1696.87</v>
      </c>
      <c r="H12" s="1">
        <v>1696.87</v>
      </c>
      <c r="I12" s="1">
        <v>1696.87</v>
      </c>
      <c r="J12" s="1">
        <v>1696.87</v>
      </c>
      <c r="K12" s="1"/>
      <c r="L12" s="1"/>
      <c r="M12" s="1"/>
      <c r="N12" s="1"/>
      <c r="O12" s="1"/>
      <c r="P12" s="1">
        <f>SUM(C12:O12)</f>
        <v>13574.959999999995</v>
      </c>
    </row>
    <row r="13" spans="1:16" ht="12.75">
      <c r="A13" s="1" t="s">
        <v>492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 aca="true" t="shared" si="1" ref="P13:P40">SUM(C13:O13)</f>
        <v>0</v>
      </c>
    </row>
    <row r="14" spans="1:16" ht="12.75">
      <c r="A14" s="1" t="s">
        <v>507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si="1"/>
        <v>0</v>
      </c>
    </row>
    <row r="15" spans="1:16" ht="12.75">
      <c r="A15" s="1" t="s">
        <v>494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f t="shared" si="1"/>
        <v>0</v>
      </c>
    </row>
    <row r="16" spans="1:16" ht="12.75">
      <c r="A16" s="1" t="s">
        <v>490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f t="shared" si="1"/>
        <v>0</v>
      </c>
    </row>
    <row r="17" spans="1:16" ht="12.75">
      <c r="A17" s="3" t="s">
        <v>223</v>
      </c>
      <c r="B17" s="1"/>
      <c r="C17" s="1"/>
      <c r="D17" s="1"/>
      <c r="E17" s="1">
        <v>34513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si="1"/>
        <v>34513</v>
      </c>
    </row>
    <row r="18" spans="1:16" ht="22.5">
      <c r="A18" s="3" t="s">
        <v>720</v>
      </c>
      <c r="B18" s="1"/>
      <c r="C18" s="1"/>
      <c r="D18" s="1"/>
      <c r="E18" s="1"/>
      <c r="F18" s="1">
        <v>3540.32</v>
      </c>
      <c r="G18" s="1"/>
      <c r="H18" s="1"/>
      <c r="I18" s="1"/>
      <c r="J18" s="1"/>
      <c r="K18" s="1"/>
      <c r="L18" s="1"/>
      <c r="M18" s="1"/>
      <c r="N18" s="1"/>
      <c r="O18" s="1"/>
      <c r="P18" s="1">
        <v>3540.32</v>
      </c>
    </row>
    <row r="19" spans="1:16" ht="12.75">
      <c r="A19" s="3" t="s">
        <v>700</v>
      </c>
      <c r="B19" s="1"/>
      <c r="C19" s="1"/>
      <c r="D19" s="1"/>
      <c r="E19" s="1"/>
      <c r="F19" s="1">
        <v>414.16</v>
      </c>
      <c r="G19" s="1"/>
      <c r="H19" s="1"/>
      <c r="I19" s="1"/>
      <c r="J19" s="1"/>
      <c r="K19" s="1"/>
      <c r="L19" s="1"/>
      <c r="M19" s="1"/>
      <c r="N19" s="1"/>
      <c r="O19" s="1"/>
      <c r="P19" s="1">
        <f>SUM(C19:O19)</f>
        <v>414.16</v>
      </c>
    </row>
    <row r="20" spans="1:16" ht="12.75">
      <c r="A20" s="3" t="s">
        <v>702</v>
      </c>
      <c r="B20" s="1"/>
      <c r="C20" s="1"/>
      <c r="D20" s="1"/>
      <c r="E20" s="1"/>
      <c r="F20" s="1">
        <v>322.62</v>
      </c>
      <c r="G20" s="1"/>
      <c r="H20" s="1"/>
      <c r="I20" s="1"/>
      <c r="J20" s="1"/>
      <c r="K20" s="1"/>
      <c r="L20" s="1"/>
      <c r="M20" s="1"/>
      <c r="N20" s="1"/>
      <c r="O20" s="1"/>
      <c r="P20" s="1">
        <v>322.62</v>
      </c>
    </row>
    <row r="21" spans="1:16" ht="12.75">
      <c r="A21" s="1" t="s">
        <v>300</v>
      </c>
      <c r="B21" s="1"/>
      <c r="C21" s="1"/>
      <c r="D21" s="1"/>
      <c r="E21" s="1"/>
      <c r="F21" s="1">
        <v>237</v>
      </c>
      <c r="G21" s="1"/>
      <c r="H21" s="1"/>
      <c r="I21" s="1"/>
      <c r="J21" s="1"/>
      <c r="K21" s="1"/>
      <c r="L21" s="1"/>
      <c r="M21" s="1"/>
      <c r="N21" s="1"/>
      <c r="O21" s="1"/>
      <c r="P21" s="1">
        <f t="shared" si="1"/>
        <v>237</v>
      </c>
    </row>
    <row r="22" spans="1:16" ht="22.5">
      <c r="A22" s="3" t="s">
        <v>348</v>
      </c>
      <c r="B22" s="1"/>
      <c r="C22" s="1"/>
      <c r="D22" s="1"/>
      <c r="E22" s="1">
        <v>4070.46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f t="shared" si="1"/>
        <v>4070.46</v>
      </c>
    </row>
    <row r="23" spans="1:16" ht="22.5">
      <c r="A23" s="3" t="s">
        <v>349</v>
      </c>
      <c r="B23" s="1"/>
      <c r="C23" s="1"/>
      <c r="D23" s="1"/>
      <c r="E23" s="1">
        <v>320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>
        <f t="shared" si="1"/>
        <v>320</v>
      </c>
    </row>
    <row r="24" spans="1:16" ht="22.5">
      <c r="A24" s="3" t="s">
        <v>350</v>
      </c>
      <c r="B24" s="1"/>
      <c r="C24" s="1"/>
      <c r="D24" s="1"/>
      <c r="E24" s="1">
        <v>414.16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f t="shared" si="1"/>
        <v>414.16</v>
      </c>
    </row>
    <row r="25" spans="1:16" ht="22.5">
      <c r="A25" s="3" t="s">
        <v>351</v>
      </c>
      <c r="B25" s="1"/>
      <c r="C25" s="1"/>
      <c r="D25" s="1">
        <v>414.16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>
        <f t="shared" si="1"/>
        <v>414.16</v>
      </c>
    </row>
    <row r="26" spans="1:16" ht="22.5">
      <c r="A26" s="3" t="s">
        <v>352</v>
      </c>
      <c r="B26" s="1"/>
      <c r="C26" s="1"/>
      <c r="D26" s="1">
        <v>1632.04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>
        <f t="shared" si="1"/>
        <v>1632.04</v>
      </c>
    </row>
    <row r="27" spans="1:16" ht="12.75">
      <c r="A27" s="3" t="s">
        <v>325</v>
      </c>
      <c r="B27" s="1"/>
      <c r="C27" s="1"/>
      <c r="D27" s="1">
        <v>207.08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>
        <f t="shared" si="1"/>
        <v>207.08</v>
      </c>
    </row>
    <row r="28" spans="1:16" ht="12.75">
      <c r="A28" s="3" t="s">
        <v>323</v>
      </c>
      <c r="B28" s="1"/>
      <c r="C28" s="1">
        <v>414.16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>
        <f t="shared" si="1"/>
        <v>414.16</v>
      </c>
    </row>
    <row r="29" spans="1:16" ht="22.5">
      <c r="A29" s="3" t="s">
        <v>353</v>
      </c>
      <c r="B29" s="1"/>
      <c r="C29" s="1">
        <v>988.32</v>
      </c>
      <c r="D29" s="1"/>
      <c r="E29" s="1"/>
      <c r="F29" s="1"/>
      <c r="G29" s="1"/>
      <c r="H29" s="1"/>
      <c r="I29" s="1"/>
      <c r="J29" s="1" t="s">
        <v>111</v>
      </c>
      <c r="K29" s="1"/>
      <c r="L29" s="1"/>
      <c r="M29" s="1"/>
      <c r="N29" s="1"/>
      <c r="O29" s="1"/>
      <c r="P29" s="1">
        <f t="shared" si="1"/>
        <v>988.32</v>
      </c>
    </row>
    <row r="30" spans="1:16" ht="12.75">
      <c r="A30" s="3" t="s">
        <v>229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>
        <f t="shared" si="1"/>
        <v>0</v>
      </c>
    </row>
    <row r="31" spans="1:16" ht="22.5">
      <c r="A31" s="3" t="s">
        <v>534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>
        <f t="shared" si="1"/>
        <v>0</v>
      </c>
    </row>
    <row r="32" spans="1:16" ht="12.75">
      <c r="A32" s="3" t="s">
        <v>521</v>
      </c>
      <c r="B32" s="1"/>
      <c r="C32" s="1"/>
      <c r="D32" s="1"/>
      <c r="E32" s="1"/>
      <c r="F32" s="1"/>
      <c r="G32" s="1">
        <v>13913</v>
      </c>
      <c r="H32" s="1"/>
      <c r="I32" s="1"/>
      <c r="J32" s="1"/>
      <c r="K32" s="1"/>
      <c r="L32" s="1"/>
      <c r="M32" s="1"/>
      <c r="N32" s="1"/>
      <c r="O32" s="1"/>
      <c r="P32" s="1">
        <f t="shared" si="1"/>
        <v>13913</v>
      </c>
    </row>
    <row r="33" spans="1:16" ht="12.75">
      <c r="A33" s="3" t="s">
        <v>640</v>
      </c>
      <c r="B33" s="1"/>
      <c r="C33" s="1"/>
      <c r="D33" s="1"/>
      <c r="E33" s="1"/>
      <c r="F33" s="1"/>
      <c r="G33" s="1">
        <v>91.2</v>
      </c>
      <c r="H33" s="1"/>
      <c r="I33" s="1"/>
      <c r="J33" s="1"/>
      <c r="K33" s="1"/>
      <c r="L33" s="1"/>
      <c r="M33" s="1"/>
      <c r="N33" s="1"/>
      <c r="O33" s="1"/>
      <c r="P33" s="1">
        <f t="shared" si="1"/>
        <v>91.2</v>
      </c>
    </row>
    <row r="34" spans="1:16" ht="12.75">
      <c r="A34" s="1" t="s">
        <v>529</v>
      </c>
      <c r="B34" s="1"/>
      <c r="C34" s="1"/>
      <c r="D34" s="1"/>
      <c r="E34" s="1"/>
      <c r="F34" s="1">
        <v>750</v>
      </c>
      <c r="G34" s="1"/>
      <c r="H34" s="1"/>
      <c r="I34" s="1"/>
      <c r="J34" s="1"/>
      <c r="K34" s="1"/>
      <c r="L34" s="1"/>
      <c r="M34" s="1"/>
      <c r="N34" s="1"/>
      <c r="O34" s="1"/>
      <c r="P34" s="1">
        <f t="shared" si="1"/>
        <v>750</v>
      </c>
    </row>
    <row r="35" spans="1:16" ht="12.75">
      <c r="A35" s="1" t="s">
        <v>10</v>
      </c>
      <c r="B35" s="1"/>
      <c r="C35" s="1"/>
      <c r="D35" s="1"/>
      <c r="E35" s="1"/>
      <c r="F35" s="1"/>
      <c r="G35" s="1"/>
      <c r="H35" s="1"/>
      <c r="I35" s="1"/>
      <c r="J35" s="1">
        <v>1918.64</v>
      </c>
      <c r="K35" s="1"/>
      <c r="L35" s="1"/>
      <c r="M35" s="1"/>
      <c r="N35" s="1"/>
      <c r="O35" s="1"/>
      <c r="P35" s="1">
        <v>1918.64</v>
      </c>
    </row>
    <row r="36" spans="1:16" ht="12.75">
      <c r="A36" s="1" t="s">
        <v>95</v>
      </c>
      <c r="B36" s="1"/>
      <c r="C36" s="1"/>
      <c r="D36" s="1"/>
      <c r="E36" s="1"/>
      <c r="F36" s="1"/>
      <c r="G36" s="1"/>
      <c r="H36" s="1"/>
      <c r="I36" s="1"/>
      <c r="J36" s="1">
        <v>40000</v>
      </c>
      <c r="K36" s="1"/>
      <c r="L36" s="1"/>
      <c r="M36" s="1"/>
      <c r="N36" s="1"/>
      <c r="O36" s="1"/>
      <c r="P36" s="1">
        <v>40000</v>
      </c>
    </row>
    <row r="37" spans="1:16" ht="12.75">
      <c r="A37" s="1" t="s">
        <v>99</v>
      </c>
      <c r="B37" s="1"/>
      <c r="C37" s="1"/>
      <c r="D37" s="1"/>
      <c r="E37" s="1"/>
      <c r="F37" s="1"/>
      <c r="G37" s="1"/>
      <c r="H37" s="1"/>
      <c r="I37" s="1">
        <v>2096.64</v>
      </c>
      <c r="J37" s="1"/>
      <c r="K37" s="1"/>
      <c r="L37" s="1"/>
      <c r="M37" s="1"/>
      <c r="N37" s="1"/>
      <c r="O37" s="1"/>
      <c r="P37" s="1">
        <v>2096.64</v>
      </c>
    </row>
    <row r="38" spans="1:16" ht="12.75">
      <c r="A38" s="1" t="s">
        <v>678</v>
      </c>
      <c r="B38" s="1"/>
      <c r="C38" s="1"/>
      <c r="D38" s="1"/>
      <c r="E38" s="1"/>
      <c r="F38" s="1"/>
      <c r="G38" s="1">
        <v>16577</v>
      </c>
      <c r="H38" s="1"/>
      <c r="I38" s="1"/>
      <c r="J38" s="1"/>
      <c r="K38" s="1"/>
      <c r="L38" s="1"/>
      <c r="M38" s="1"/>
      <c r="N38" s="1"/>
      <c r="O38" s="1"/>
      <c r="P38" s="1">
        <f t="shared" si="1"/>
        <v>16577</v>
      </c>
    </row>
    <row r="39" spans="1:16" ht="12.75">
      <c r="A39" s="1" t="s">
        <v>793</v>
      </c>
      <c r="B39" s="1"/>
      <c r="C39" s="1"/>
      <c r="D39" s="1"/>
      <c r="E39" s="1"/>
      <c r="F39" s="1"/>
      <c r="G39" s="1"/>
      <c r="H39" s="1">
        <v>3000</v>
      </c>
      <c r="I39" s="1"/>
      <c r="J39" s="1"/>
      <c r="K39" s="1"/>
      <c r="L39" s="1"/>
      <c r="M39" s="1"/>
      <c r="N39" s="1"/>
      <c r="O39" s="1"/>
      <c r="P39" s="1">
        <v>3000</v>
      </c>
    </row>
    <row r="40" spans="1:16" ht="12.75">
      <c r="A40" s="1" t="s">
        <v>639</v>
      </c>
      <c r="B40" s="1"/>
      <c r="C40" s="1"/>
      <c r="D40" s="1"/>
      <c r="E40" s="1"/>
      <c r="F40" s="1"/>
      <c r="G40" s="1">
        <v>60.8</v>
      </c>
      <c r="H40" s="1"/>
      <c r="I40" s="1"/>
      <c r="J40" s="1"/>
      <c r="K40" s="1"/>
      <c r="L40" s="1"/>
      <c r="M40" s="1"/>
      <c r="N40" s="1"/>
      <c r="O40" s="1"/>
      <c r="P40" s="1">
        <f t="shared" si="1"/>
        <v>60.8</v>
      </c>
    </row>
    <row r="41" spans="1:16" ht="12.75">
      <c r="A41" s="1" t="s">
        <v>415</v>
      </c>
      <c r="B41" s="1"/>
      <c r="C41" s="1">
        <f aca="true" t="shared" si="2" ref="C41:J41">SUM(C4:C32)</f>
        <v>21181.2621</v>
      </c>
      <c r="D41" s="1">
        <f t="shared" si="2"/>
        <v>24744.062100000003</v>
      </c>
      <c r="E41" s="1">
        <f t="shared" si="2"/>
        <v>61808.4021</v>
      </c>
      <c r="F41" s="1">
        <f t="shared" si="2"/>
        <v>27004.8821</v>
      </c>
      <c r="G41" s="1">
        <f t="shared" si="2"/>
        <v>36403.7821</v>
      </c>
      <c r="H41" s="1">
        <f t="shared" si="2"/>
        <v>22454.789999999997</v>
      </c>
      <c r="I41" s="1">
        <f t="shared" si="2"/>
        <v>22745.319999999996</v>
      </c>
      <c r="J41" s="1">
        <f t="shared" si="2"/>
        <v>22745.319999999996</v>
      </c>
      <c r="K41" s="1">
        <f>SUM(K4:K40)</f>
        <v>0</v>
      </c>
      <c r="L41" s="1">
        <f>SUM(L4:L32)</f>
        <v>0</v>
      </c>
      <c r="M41" s="1">
        <f>SUM(M4:M32)</f>
        <v>0</v>
      </c>
      <c r="N41" s="1">
        <f>SUM(N4:N32)</f>
        <v>0</v>
      </c>
      <c r="O41" s="1">
        <f>SUM(O4:O32)</f>
        <v>0</v>
      </c>
      <c r="P41" s="1">
        <f>SUM(P4:P40)</f>
        <v>299513.42050000007</v>
      </c>
    </row>
    <row r="42" spans="1:16" ht="12.75">
      <c r="A42" s="1" t="s">
        <v>419</v>
      </c>
      <c r="B42" s="1"/>
      <c r="C42" s="1">
        <v>29363.69</v>
      </c>
      <c r="D42" s="1">
        <v>33230.07</v>
      </c>
      <c r="E42" s="1">
        <v>36336.8</v>
      </c>
      <c r="F42" s="1">
        <v>37482.07</v>
      </c>
      <c r="G42" s="1">
        <v>41433.63</v>
      </c>
      <c r="H42" s="1">
        <v>26152.67</v>
      </c>
      <c r="I42" s="1">
        <v>38633.61</v>
      </c>
      <c r="J42" s="1">
        <v>38575.9</v>
      </c>
      <c r="K42" s="1"/>
      <c r="L42" s="1"/>
      <c r="M42" s="1"/>
      <c r="N42" s="1"/>
      <c r="O42" s="1"/>
      <c r="P42" s="1">
        <f>SUM(C42:O42)</f>
        <v>281208.44</v>
      </c>
    </row>
    <row r="43" spans="1:16" ht="12.75">
      <c r="A43" s="1" t="s">
        <v>603</v>
      </c>
      <c r="B43" s="1"/>
      <c r="C43" s="1"/>
      <c r="D43" s="1"/>
      <c r="E43" s="1"/>
      <c r="F43" s="1">
        <v>378</v>
      </c>
      <c r="G43" s="1"/>
      <c r="H43" s="1">
        <v>400</v>
      </c>
      <c r="I43" s="1"/>
      <c r="J43" s="1">
        <v>240</v>
      </c>
      <c r="K43" s="1"/>
      <c r="L43" s="1"/>
      <c r="M43" s="1"/>
      <c r="N43" s="1"/>
      <c r="O43" s="1"/>
      <c r="P43" s="1">
        <f>SUM(F43:O43)</f>
        <v>1018</v>
      </c>
    </row>
    <row r="44" spans="1:16" s="12" customFormat="1" ht="12.75">
      <c r="A44" s="1" t="s">
        <v>527</v>
      </c>
      <c r="C44" s="1"/>
      <c r="D44" s="1"/>
      <c r="E44" s="1"/>
      <c r="F44" s="1">
        <v>3675</v>
      </c>
      <c r="G44" s="1">
        <v>1513.5</v>
      </c>
      <c r="H44" s="1">
        <v>600</v>
      </c>
      <c r="I44" s="1"/>
      <c r="J44" s="1">
        <v>140</v>
      </c>
      <c r="K44" s="1"/>
      <c r="L44" s="1"/>
      <c r="M44" s="1"/>
      <c r="N44" s="1"/>
      <c r="O44" s="1"/>
      <c r="P44" s="1">
        <f>SUM(F44:O44)</f>
        <v>5928.5</v>
      </c>
    </row>
    <row r="45" spans="1:16" ht="12.75">
      <c r="A45" s="2" t="s">
        <v>420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>
        <f>P1+P42+P43+P44-P41</f>
        <v>-3261.860500000068</v>
      </c>
    </row>
    <row r="46" spans="1:16" ht="12.75">
      <c r="A46" s="1"/>
      <c r="B46" s="62" t="s">
        <v>481</v>
      </c>
      <c r="C46" s="63"/>
      <c r="D46" s="63"/>
      <c r="E46" s="63"/>
      <c r="F46" s="64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50" ht="12.75">
      <c r="G50" s="14" t="s">
        <v>428</v>
      </c>
    </row>
  </sheetData>
  <sheetProtection/>
  <mergeCells count="1">
    <mergeCell ref="B46:F46"/>
  </mergeCells>
  <printOptions/>
  <pageMargins left="0.75" right="0.75" top="1" bottom="1" header="0.5" footer="0.5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"Домоуправление"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"Домоуправление"</dc:creator>
  <cp:keywords/>
  <dc:description/>
  <cp:lastModifiedBy>User</cp:lastModifiedBy>
  <cp:lastPrinted>2014-09-29T06:51:51Z</cp:lastPrinted>
  <dcterms:created xsi:type="dcterms:W3CDTF">2009-08-20T05:19:49Z</dcterms:created>
  <dcterms:modified xsi:type="dcterms:W3CDTF">2014-09-29T06:56:49Z</dcterms:modified>
  <cp:category/>
  <cp:version/>
  <cp:contentType/>
  <cp:contentStatus/>
</cp:coreProperties>
</file>